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28680" yWindow="65416" windowWidth="29040" windowHeight="15720" activeTab="0"/>
  </bookViews>
  <sheets>
    <sheet name="Įvadas" sheetId="1" r:id="rId1"/>
    <sheet name="Telia pateiktas KST pvz." sheetId="5" r:id="rId2"/>
    <sheet name="KST " sheetId="4" r:id="rId3"/>
  </sheets>
  <definedNames>
    <definedName name="_Hlk11390301" localSheetId="0">'Įvadas'!#REF!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<sst xmlns="http://schemas.openxmlformats.org/spreadsheetml/2006/main" count="409" uniqueCount="125">
  <si>
    <t>Nr.</t>
  </si>
  <si>
    <t>Pagrindinės didmeninės centrinės prieigos paslaugos kaina (sąnaudos (įskaitant investicijų grąžą)), Eur (be PVM)</t>
  </si>
  <si>
    <t>Skaičiavimo prielaidos</t>
  </si>
  <si>
    <t xml:space="preserve">Įsipareigojimo naudotis paslaugomis laikotarpis, mėn. </t>
  </si>
  <si>
    <t>Planuojamų pajungti prieigų (galutinių paslaugų gavėjų) kiekis, vnt.</t>
  </si>
  <si>
    <t>Papildomos didmeninės paslaugos, būtinos mažmeninei interneto prieigos paslaugai teikti</t>
  </si>
  <si>
    <t>Papildomos didmeninių paslaugų, būtinų mažmeninei interneto prieigos paslaugai teikti, kainos (sąnaudos) vienai prieigai teikti, Eur (be PVM)</t>
  </si>
  <si>
    <t>Kitos sąnaudos (įskaitant investicijų grąžą)</t>
  </si>
  <si>
    <t>FTTx technologija su dinaminiu lP adresu</t>
  </si>
  <si>
    <t>be įsipareigojimo</t>
  </si>
  <si>
    <t>su 24 mėn. įsipareigojimu</t>
  </si>
  <si>
    <t>KST dedamosios dalys</t>
  </si>
  <si>
    <t>Greitaveika, Mb/s</t>
  </si>
  <si>
    <t xml:space="preserve">Mėnesio mokestis, Eur/mėn. </t>
  </si>
  <si>
    <t>Įrengimo/perjungimo mokestis + identifikavimas</t>
  </si>
  <si>
    <t>Įrengimo/perjungimo mokestis + identifikavimas, tenkantis vienam mėnesiui</t>
  </si>
  <si>
    <t>Vidutinis santykis tarp parduotos/realiai naudojamos spartos</t>
  </si>
  <si>
    <t xml:space="preserve">Šis rodiklis yra Telia mažmeninių interneto prieigos paslaugų gavėjų faktinis vidutinis santykis tarp parduodamos ir realiai naudojamos spartos. 
</t>
  </si>
  <si>
    <t>Tarptautinio interneto kaina už 1 Mb/s</t>
  </si>
  <si>
    <t>Vietinio interneto kaina už 1 Mb/s</t>
  </si>
  <si>
    <t>Tarptautinio ir vietinio interneto vidutinis santykis (2022 ABC ataskaitos 14 priedas)</t>
  </si>
  <si>
    <t>Prisijungimo paslaugos reikalinga sparta, Gb/s</t>
  </si>
  <si>
    <t xml:space="preserve">Planuojamas prijungti prieigų skaičius dauginamas iš atitinkamos greitaveikos ir dalinama iš vidutinio santykio tarp parduotos/reliai naudojamos spartos </t>
  </si>
  <si>
    <t>Atitinkamos prisijungimo spartos mėn. mokestis, Eur/mėn</t>
  </si>
  <si>
    <t>Skaidulos nuomos, skirtos sujungti teikėjo ir gavėjo tinklus, vidutinė rinkos kaina</t>
  </si>
  <si>
    <t>Prisijungimo prie DPP paslaugos taškų kiekis, vnt.</t>
  </si>
  <si>
    <t>Kitos prielaidos, turinčios įtakos galutinei didmeninei kainai</t>
  </si>
  <si>
    <t>A. Tarptautinis internetas</t>
  </si>
  <si>
    <t>B. Vietinis internetas</t>
  </si>
  <si>
    <t>C. Skaidula, skirta sujungti teikėjo ir gavėjo tinklus</t>
  </si>
  <si>
    <t>D. Prisijungimo prie DPP taško paslauga</t>
  </si>
  <si>
    <t>E. Išorinių IP adresų nuoma</t>
  </si>
  <si>
    <t>F. Vienkartiniai DPP paslaugos mokesčiai</t>
  </si>
  <si>
    <t>Tarptautinio interneto kaina</t>
  </si>
  <si>
    <t>Vietinio intemeto kaina</t>
  </si>
  <si>
    <t>Skaidulos nuomos kaina</t>
  </si>
  <si>
    <t>Prisijungimo prie paslaugos kaina</t>
  </si>
  <si>
    <t>Išorinių IP adresų nuoma</t>
  </si>
  <si>
    <t>Prisijungimas viename taške, kuris neaptarnauja regiono</t>
  </si>
  <si>
    <t>Galinės įrangos kaina (sąnaudos) Eur (be PVM)</t>
  </si>
  <si>
    <t>Vidutinis mažmeninės interneto prieigos paslaugos teikimo priedas, Eur (be PVM)</t>
  </si>
  <si>
    <t>Investicijų grąža, Eur</t>
  </si>
  <si>
    <t>Investicijų grąža, proc.</t>
  </si>
  <si>
    <t>1+12+13</t>
  </si>
  <si>
    <t>Visų didmeninių paslaugų, būtinų mažmeninei interneto prieigos paslaugai teikti, sąnaudos, mažmeninės interneto prieigos paslaugos teikimo priedo, galinės įrangos kainos bei investicijų grąžos suma (operatoriaus savikaina), Eur (be PVM)</t>
  </si>
  <si>
    <t xml:space="preserve">Sudedamos visų didmeninių paslaugų, būtinų suteikti mažmenines interneto prieigos paslaugas, sąnaudos. </t>
  </si>
  <si>
    <t>Ūkio subjekto Telia mažmeninės interneto prieigos paslaugos mėnesio mokestis, teikiamos pagrindinės didmeninės paslaugos pagrindu, kaina, (Eur be PVM)</t>
  </si>
  <si>
    <t xml:space="preserve">Telia taikomas mažmeninės interneto prieigos paslaugos mėnesio mokestis. 
Tarnyba yra gavusi ne vieną operatorių nusiskundimą, kad Telia faktiškai taiko mažesnes kainas, nei skelbia viešai (tos, kurios yra naudojamos vertinant kainų spaudimą KST lentelėje). Operatoriams nėra uždrausta taikyti kitokias kainas, t. y. teikti individualius pasiūlymus klientams, kurie nesutampa su viešai skelbiamais pasiūlymais. Tačiau atsižvelgiant į tai, kad Telia yra nustatytas nediskriminavimo įpareigojimas DPP paslaugų rinkoje, o didmeninės kainos yra siejamos su mažmeninėmis Telia taikomomis kainomis, vertinat kainų spaudimą, turi būti imama faktiškai Telia taikoma kaina mažmeninių interneto prieigos paslaugų rinkoje. Atsižvelgiant į tai, Tarnyba reguliariai prašo Telios pateikti mažmeninių sutarčių duomenis, kad būtų galima įsitikinti, jog Telia laikosi jai nustatyto nediskriminavimo įpareigojimo.
</t>
  </si>
  <si>
    <t>Ūkio subjekto Telia mažmeninės interneto prieigos paslaugos įrengimo mokestis, teikiamos pagrindinės didmeninės paslaugos pagrindu, kaina, (Eur be PVM)</t>
  </si>
  <si>
    <t>Ūkio subjekto Telia mažmeninės interneto prieigos paslaugos, teikiamos pagrindinės didmeninės paslaugos pagrindu, galinės įrangos mėnesio mokestis, (Eur be PVM)</t>
  </si>
  <si>
    <t>Telia taikomas galinės įrangos mėnesio mokestis</t>
  </si>
  <si>
    <t>14-(1+12+13)</t>
  </si>
  <si>
    <t>Skirtumas tarp Telia mažmeninės interneto prieigos paslaugos, teikiamos DPP paslaugos A pagrindu, kainos ir visų didmeninių paslaugų, būtinų mažmeninei interneto prieigos paslaugai teikti, sąnaudų sumos (operatorių savikaina) (Eur be PVM)</t>
  </si>
  <si>
    <t>Rezultate, kai apskaičiuojamas skirtumas tarp Telia mažmeninės interneto paslaugos kainos (įskaitant visas dedamąsias) ir didmeninių paslaugų, būtinų suteikti mažmeninę interneto prieigos paslaugą, sąnaudų, jis turi būti ne mažesnis nei 0 arba teigiamas. Tokiu atveju galima konstatuoti, kad nėra kainų spaudimo ir Telia vykdo jai nustatytą nediskriminavimo įpareigojimą DPP paslaugų rinkoje.</t>
  </si>
  <si>
    <t>PRIELAIDOS</t>
  </si>
  <si>
    <t>KAINŲ SPAUDIMO TESTAS
SKAIČIUOKLĖ</t>
  </si>
  <si>
    <t>Trumpiniai</t>
  </si>
  <si>
    <t>RRT</t>
  </si>
  <si>
    <t>Ryšių reguliavimo tarnyba</t>
  </si>
  <si>
    <t>Teisės aktai</t>
  </si>
  <si>
    <t>KST</t>
  </si>
  <si>
    <t>DPP</t>
  </si>
  <si>
    <t>Kainų spaudimo testas</t>
  </si>
  <si>
    <t>Telia Lietuva, AB</t>
  </si>
  <si>
    <t>TGT</t>
  </si>
  <si>
    <t>Techninių galimybių tyrimas</t>
  </si>
  <si>
    <t>Trumpinys</t>
  </si>
  <si>
    <t>Teisės aktas</t>
  </si>
  <si>
    <t>Telia arba
Operatorius</t>
  </si>
  <si>
    <t>Įsakymas</t>
  </si>
  <si>
    <t>Didmeninės centrinės prieigos fiksuotoje vietoje masinės rinkos produktams rinka</t>
  </si>
  <si>
    <t>Mažmeninių interneto prieigos paslaugų teikimo priedas yra apskaičiuojamas pagal Telia metinės ataskaitos, parengtos vadovaujantis SAT ir  AAT nuostatomis, (toliau – metinė ataskaita) duomenis, kurie atspindi papildomas operatoriaus patiriamas sąnaudas, susijusias su galutinių paslaugų gavėjų aptarnavimu</t>
  </si>
  <si>
    <t>SAT</t>
  </si>
  <si>
    <t>AAT</t>
  </si>
  <si>
    <t xml:space="preserve">RRT direktoriaus 2019 m. liepos 19 d. įsakymas Nr. 1V-766 „Dėl ūkio subjekto Telia Lietuva, AB, turinčio didelę įtaką Didmeninės centrinės prieigos fiksuotoje vietoje masinės rinkos produktams rinkoje“ </t>
  </si>
  <si>
    <t>Kaip naudotis skaičiuokle</t>
  </si>
  <si>
    <t>KST naudojamos prielaidos ir paaiškinimai</t>
  </si>
  <si>
    <t>Įrengimo/perjungimo metinis mokestis dalinamas iš laikotarpio nurodyto 2 punkte</t>
  </si>
  <si>
    <t>Įvesties duomenys (atrakinti laukai ir juos galima koreguoti)</t>
  </si>
  <si>
    <t>Prielaidų paaiškinimai</t>
  </si>
  <si>
    <t>xDSL technologija su dinaminiu lP adresu</t>
  </si>
  <si>
    <t>naujiems klientams</t>
  </si>
  <si>
    <t>esamiems klientams</t>
  </si>
  <si>
    <t>ADSL</t>
  </si>
  <si>
    <t>VDSL</t>
  </si>
  <si>
    <t xml:space="preserve">FTTx technologija su dinaminiu lP adresu </t>
  </si>
  <si>
    <t xml:space="preserve">FTTx technologija su statiniu lP adresu </t>
  </si>
  <si>
    <t>FTTx greitaveika, Mb/s</t>
  </si>
  <si>
    <t>Konfidencialu</t>
  </si>
  <si>
    <t>Vietinis, konfidencialu</t>
  </si>
  <si>
    <t>Tarptautinis, konfidencialu</t>
  </si>
  <si>
    <t>Šis rodiklis yra Telia mažmeninių interneto prieigos paslaugų gavėjų faktinis vidutinis tarptautinio ir vietinio interneto naudojimosi santykis, kuris parodo, kiek procentų galutiniai paslaugų gavėjai naudojasi vietiniu ir tarptautiniu internetu. Bendra suma turi būti 1</t>
  </si>
  <si>
    <t>Komentarai</t>
  </si>
  <si>
    <t xml:space="preserve">Kadangi investicijų grąža išreiškiama kaip procentinis dydis, norint paskaičiuoti investicijų grąžos dydį eurais, reikia visų didmeninių sąnaudų sumą padauginti iš investicijų grąžos proc. Didmenines sąnaudas sudaro 1, 12 ir šiame 13 punkte (t. y. galinės įrangos kaina ir mažmeninės interneto prieigos paslaugos teikimo priedas) apskaičiuotos sąnaudos.
</t>
  </si>
  <si>
    <t>Sąnaudų apskaitos pagal visiškai paskirstytų sąnaudų metodą taisyklės patvirtintos RRT direktoriaus 2005 m. gruodžio 28 d. įsakymu Nr. 1V-1164 „Dėl Sąnaudų apskaitos pagal visiškai paskirstytų sąnaudų metodą taisyklių patvirtinimo“</t>
  </si>
  <si>
    <t>Apskaitos atskyrimo taisyklės ir su apskaitos atskyrimu susiję reikalavimai, patvirtinti Tarnybos direktoriaus 2006 m. birželio 14 d. įsakymu Nr. lV-738 „Dėl Apskaitos atskyrimo taisyklių ir su apskaitos atskyrimu susijusių reikalavimų patvirtinimo“</t>
  </si>
  <si>
    <t>3. Planuojamų pajungti prieigų (galutinių paslaugų gavėjų) kiekis, vnt.</t>
  </si>
  <si>
    <t>prieigų sk.</t>
  </si>
  <si>
    <t xml:space="preserve">operatoriai </t>
  </si>
  <si>
    <t>per operatorių</t>
  </si>
  <si>
    <t>augimas</t>
  </si>
  <si>
    <t>prieigų sk. final</t>
  </si>
  <si>
    <t xml:space="preserve">Šaltinis: Lietuvos ryšių sektorius 2022 m.,74 psl. 68 pav. https://www.rrt.lt/wp-content/uploads/2023/09/Rysiu-sektorius_2022.pdf </t>
  </si>
  <si>
    <t>ABC</t>
  </si>
  <si>
    <t>Sąnaudų apskaita ir apskaitos atskyrimas atliekamas naudojant Verslo sąnaudų paskirstymo per veiklas modelį (ang. Activity Based Costing (ABC))</t>
  </si>
  <si>
    <r>
      <t xml:space="preserve">Skirtumas tarp Telia mažmeninės interneto prieigos paslaugos, teikiamos DPP paslaugos A pagrindu, kainos ir visų didmeninių paslaugų, būtinų mažmeninei interneto prieigos paslaugai teikti, sąnaudų sumos (operatorių savikaina) (Eur be PVM) </t>
    </r>
    <r>
      <rPr>
        <b/>
        <sz val="11"/>
        <color rgb="FFFF0000"/>
        <rFont val="Arial"/>
        <family val="2"/>
      </rPr>
      <t>(Telia KST rezultatai)</t>
    </r>
  </si>
  <si>
    <t>Reikšmė&gt;0</t>
  </si>
  <si>
    <t>Nauja paslauga</t>
  </si>
  <si>
    <r>
      <t xml:space="preserve">Skirtumas tarp Telia mažmeninės interneto prieigos paslaugos, teikiamos DPP paslaugos A pagrindu, kainos ir visų didmeninių paslaugų, būtinų mažmeninei interneto prieigos paslaugai teikti, sąnaudų sumos (operatorių savikaina) (Eur be PVM) </t>
    </r>
    <r>
      <rPr>
        <b/>
        <sz val="11"/>
        <color rgb="FFFF0000"/>
        <rFont val="Arial"/>
        <family val="2"/>
      </rPr>
      <t>(rezultatas su naujais įvesties duomenimis)</t>
    </r>
  </si>
  <si>
    <r>
      <t xml:space="preserve"> DPP sutarties 6 priedo 4 dalyje yra nustatytos Prisijungimo taško bei prievado paslaugų kainos.</t>
    </r>
    <r>
      <rPr>
        <sz val="11"/>
        <color rgb="FFFF0000"/>
        <rFont val="Calibri"/>
        <family val="2"/>
        <scheme val="minor"/>
      </rPr>
      <t xml:space="preserve"> </t>
    </r>
  </si>
  <si>
    <t>naujiems</t>
  </si>
  <si>
    <t>esamiems</t>
  </si>
  <si>
    <t>Formoje esantis tekstas, pagal Įsakymo 4.2.2 papunkčio formą ir formulės (laukai užrakinti)</t>
  </si>
  <si>
    <r>
      <t xml:space="preserve"> (i) Įsakymo 4.2.2 papunktyje Telia Lietuva, AB nustatytas nediskriminavimo įpareigojimas DPP. 
(ii) Telia Lietuva, AB atlikusi ex-ante KST užpildo Įsakyme nustatytą formą ir ją pateikia RRT. 
(iii) Šioje skaičiuoklėje pateikiami Telia skaičiavimai. Atskleidžiami tik tie duomenys, kurie nesudaro Operatoriaus komercinės paslapties. Informacija, kuri yra konfidenciali pažymėta komentarų skiltyje žemiau esančioje lentelėje.
(iv) Pati skaičiuoklė yra apsaugota slaptažodžiu, kad būtų išvengta galimų iškraipymų. Rinkos dalyviai gali atlikti pakeitimus atitinkamose KST darbalaukio vietose, kurios pažymėtos mėlyna spalva. </t>
    </r>
    <r>
      <rPr>
        <u val="single"/>
        <sz val="11"/>
        <color theme="1"/>
        <rFont val="Calibri"/>
        <family val="2"/>
        <scheme val="minor"/>
      </rPr>
      <t>Jeigu skaičiuoklėje, kur galima atlikti korekcijas, lieka tuščių vietų arba įrašomas "0", galutiniame rezultate bus matoma "Neužpildyti visi laukai X stulpelyje", kad matytųsi galutinis rezultatas, reikia užpildyti visus mėlynus laukus.</t>
    </r>
    <r>
      <rPr>
        <sz val="11"/>
        <color theme="1"/>
        <rFont val="Calibri"/>
        <family val="2"/>
        <scheme val="minor"/>
      </rPr>
      <t xml:space="preserve">  Spalvų paaiškinimai pateikiami žemiau.
(V) KST naudojamos prielaidos ir jų paaiškinimai pateikiami šiame darbalaukyje nuo 24 eilutės.
(VI) Darbalaukyje "Telia pateiktas KST pvz." pateikiama tai, kas buvo pateikta RRT vertinimui, neatskleidžiant konfidencialios informacijos.</t>
    </r>
  </si>
  <si>
    <t>Užsakant paslaugas taikomas įsipareigojimo laikotarpis</t>
  </si>
  <si>
    <r>
      <t xml:space="preserve">Greitaveika, Mb/s
</t>
    </r>
    <r>
      <rPr>
        <sz val="11"/>
        <color rgb="FFFF0000"/>
        <rFont val="Calibri"/>
        <family val="2"/>
        <scheme val="minor"/>
      </rPr>
      <t>(pavyzdys)</t>
    </r>
  </si>
  <si>
    <t>RRT nustatyta vertė, atlikus skaičiavimus  apie tai, kiek kiti operatoriai moka už šią paslaugą.</t>
  </si>
  <si>
    <t xml:space="preserve">Telia teikiamos skaidulos nuomos paslaugos vidutinė kaina </t>
  </si>
  <si>
    <t>Operatorius, norėdamas turėti galimybę mažmenines interneto prieigos paslaugas teikti visoje Lietuvoje, turi turėti prisijungimus visuose trijuose Telia prisijungimo taškuose (Vilnius, Kaunas, Klaipėda)</t>
  </si>
  <si>
    <t xml:space="preserve">Galinės įrangos nusidėvijimo sąnaudos, kurios paskaičiuojamos remiantis buhalteriniais normatyvais. Galinės įrangos mėnesio mokestis (įrangos nuoma), taikomas galutiniams paslaugų gavėjams, kurie neturi savo įrangos.  </t>
  </si>
  <si>
    <t>Telia taikomas mažmeninės interneto prieigos paslaugos įrengimo mokestis padalinamas iš įsipareigojimo laikotarpio ir gaunama, kiek papildomai prie mažmeninės interneto prieigos mėnesio mokesčio prisideda įrengimo mokestis. Esamiems vartotojams toks mokestis netaikomas</t>
  </si>
  <si>
    <t>Išorinių IP adresų nuoma (nustatoma pagal RRT skaičiavimus)</t>
  </si>
  <si>
    <t>Investicijų grąža – procentas, lygus Telia iš visų mažmeninių interneto prieigos paslaugų gaunamos investicijų grąžos vidurkiui, kuris kasmet atnaujinamas pagal Telia metinės ataskaitos pateiktus duomenis.</t>
  </si>
  <si>
    <t xml:space="preserve">Planuojamų pajungti prieigų kiekis apskaičiuojamas pagal faktiškai perkamą DPP paslaugų skaičių, vidutiniškai tenkantį vienam operatoriui, atsižvelgiant į ateities prognozę. Augimo procentas skaičiuojamas, atsižvelgiant į 1 metų laikotarpį. Tuomet prie atitinkamo laikotarpio faktiškai perkamo DPP paslaugų skaičiaus pridedamas metinis augimo procentas. Skaičiavimo pavyzdys pateikiamas 69 eilutėje. </t>
  </si>
  <si>
    <t>Telia taikoma kaina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</si>
</sst>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11"/>
      <color theme="1"/>
      <name val="Arial"/>
      <family val="2"/>
    </font>
    <font>
      <b/>
      <sz val="11"/>
      <color theme="1"/>
      <name val="Arial"/>
      <family val="2"/>
    </font>
    <font>
      <b/>
      <sz val="11"/>
      <color rgb="FFFF0000"/>
      <name val="Arial"/>
      <family val="2"/>
    </font>
    <font>
      <sz val="11"/>
      <color rgb="FFFF0000"/>
      <name val="Calibri"/>
      <family val="2"/>
      <scheme val="minor"/>
    </font>
    <font>
      <u val="single"/>
      <sz val="11"/>
      <color theme="1"/>
      <name val="Calibri"/>
      <family val="2"/>
      <scheme val="minor"/>
    </font>
    <font>
      <sz val="11"/>
      <name val="Calibri"/>
      <family val="2"/>
      <scheme val="minor"/>
    </font>
    <font>
      <b/>
      <sz val="11"/>
      <color rgb="FFFF0000"/>
      <name val="Calibri"/>
      <family val="2"/>
      <scheme val="minor"/>
    </font>
    <font>
      <b/>
      <sz val="11"/>
      <color rgb="FF00B050"/>
      <name val="Arial"/>
      <family val="2"/>
    </font>
    <font>
      <sz val="11"/>
      <name val="Arial"/>
      <family val="2"/>
    </font>
    <font>
      <b/>
      <sz val="11"/>
      <name val="Arial"/>
      <family val="2"/>
    </font>
  </fonts>
  <fills count="10">
    <fill>
      <patternFill/>
    </fill>
    <fill>
      <patternFill patternType="gray125"/>
    </fill>
    <fill>
      <patternFill patternType="solid">
        <fgColor theme="0" tint="-0.1499900072813034"/>
        <bgColor indexed="64"/>
      </patternFill>
    </fill>
    <fill>
      <patternFill patternType="solid">
        <fgColor theme="4" tint="0.7999799847602844"/>
        <bgColor indexed="64"/>
      </patternFill>
    </fill>
    <fill>
      <patternFill patternType="solid">
        <fgColor rgb="FFE1E4EB"/>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0"/>
        <bgColor indexed="64"/>
      </patternFill>
    </fill>
    <fill>
      <patternFill patternType="solid">
        <fgColor theme="5" tint="-0.24997000396251678"/>
        <bgColor indexed="64"/>
      </patternFill>
    </fill>
  </fills>
  <borders count="73">
    <border>
      <left/>
      <right/>
      <top/>
      <bottom/>
      <diagonal/>
    </border>
    <border>
      <left style="thin"/>
      <right style="thick"/>
      <top style="thin"/>
      <bottom style="thick"/>
    </border>
    <border>
      <left style="thin"/>
      <right style="thick"/>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style="thin"/>
      <bottom/>
    </border>
    <border>
      <left style="thin"/>
      <right style="thick"/>
      <top style="thin"/>
      <bottom/>
    </border>
    <border>
      <left style="thin"/>
      <right style="thin"/>
      <top style="thin"/>
      <bottom/>
    </border>
    <border>
      <left style="thick"/>
      <right style="thin"/>
      <top style="thick"/>
      <bottom style="thin"/>
    </border>
    <border>
      <left style="thick"/>
      <right style="thin"/>
      <top style="thin"/>
      <bottom style="thick"/>
    </border>
    <border>
      <left style="thick"/>
      <right style="thick"/>
      <top style="thin"/>
      <bottom style="thin"/>
    </border>
    <border>
      <left style="thick"/>
      <right style="thick"/>
      <top style="thin"/>
      <bottom style="thick"/>
    </border>
    <border>
      <left style="thick"/>
      <right/>
      <top style="thin"/>
      <bottom style="thick"/>
    </border>
    <border>
      <left style="thick"/>
      <right style="thick"/>
      <top style="thick"/>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style="thin"/>
      <bottom style="thick"/>
    </border>
    <border>
      <left style="thin"/>
      <right style="thin"/>
      <top style="thick"/>
      <bottom style="thin"/>
    </border>
    <border>
      <left style="thin"/>
      <right/>
      <top style="thick"/>
      <bottom style="thin"/>
    </border>
    <border>
      <left style="thick">
        <color rgb="FFFF0000"/>
      </left>
      <right style="thin"/>
      <top style="thick">
        <color rgb="FFFF0000"/>
      </top>
      <bottom style="thick">
        <color rgb="FFFF0000"/>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style="thick"/>
      <right style="thin"/>
      <top/>
      <bottom/>
    </border>
    <border>
      <left style="thin"/>
      <right style="thin"/>
      <top/>
      <bottom/>
    </border>
    <border>
      <left style="thin"/>
      <right style="thick"/>
      <top/>
      <bottom/>
    </border>
    <border>
      <left style="thin"/>
      <right/>
      <top style="thin"/>
      <bottom style="thin"/>
    </border>
    <border>
      <left style="thick">
        <color rgb="FFFF0000"/>
      </left>
      <right style="thin"/>
      <top style="thick">
        <color rgb="FFFF0000"/>
      </top>
      <bottom style="thin"/>
    </border>
    <border>
      <left style="thin"/>
      <right style="thin"/>
      <top style="thick">
        <color rgb="FFFF0000"/>
      </top>
      <bottom style="thin"/>
    </border>
    <border>
      <left style="thin"/>
      <right style="thick">
        <color rgb="FFFF0000"/>
      </right>
      <top style="thick">
        <color rgb="FFFF0000"/>
      </top>
      <bottom style="thin"/>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n"/>
      <bottom style="thick">
        <color rgb="FFFF0000"/>
      </bottom>
    </border>
    <border>
      <left style="thin"/>
      <right style="thin"/>
      <top style="thin"/>
      <bottom style="thick">
        <color rgb="FFFF0000"/>
      </bottom>
    </border>
    <border>
      <left style="thin"/>
      <right style="thick">
        <color rgb="FFFF0000"/>
      </right>
      <top style="thin"/>
      <bottom style="thick">
        <color rgb="FFFF0000"/>
      </bottom>
    </border>
    <border>
      <left style="thin"/>
      <right/>
      <top style="thin"/>
      <bottom style="thick"/>
    </border>
    <border>
      <left style="thick"/>
      <right style="thin"/>
      <top/>
      <bottom style="thick"/>
    </border>
    <border>
      <left style="thin"/>
      <right style="thin"/>
      <top/>
      <bottom style="thick"/>
    </border>
    <border>
      <left style="thin"/>
      <right style="thick"/>
      <top/>
      <bottom style="thick"/>
    </border>
    <border>
      <left/>
      <right style="thick"/>
      <top style="thin"/>
      <bottom style="thin"/>
    </border>
    <border>
      <left style="thick">
        <color rgb="FFFF0000"/>
      </left>
      <right style="thick">
        <color rgb="FFFF0000"/>
      </right>
      <top style="thick">
        <color rgb="FFFF0000"/>
      </top>
      <bottom style="thick">
        <color rgb="FFFF0000"/>
      </bottom>
    </border>
    <border>
      <left style="thin"/>
      <right/>
      <top style="thin"/>
      <bottom/>
    </border>
    <border>
      <left/>
      <right/>
      <top style="thin"/>
      <bottom/>
    </border>
    <border>
      <left style="thin"/>
      <right style="thick"/>
      <top/>
      <bottom style="thin"/>
    </border>
    <border>
      <left style="thick">
        <color rgb="FFFF0000"/>
      </left>
      <right style="thick">
        <color rgb="FFFF0000"/>
      </right>
      <top style="thick">
        <color rgb="FFFF0000"/>
      </top>
      <bottom style="thin"/>
    </border>
    <border>
      <left style="thick">
        <color rgb="FFFF0000"/>
      </left>
      <right style="thick">
        <color rgb="FFFF0000"/>
      </right>
      <top style="thin"/>
      <bottom style="thick">
        <color rgb="FFFF0000"/>
      </bottom>
    </border>
    <border>
      <left style="thick">
        <color rgb="FFFF0000"/>
      </left>
      <right style="thick">
        <color rgb="FFFF0000"/>
      </right>
      <top style="thin"/>
      <bottom style="thin"/>
    </border>
    <border>
      <left style="thick"/>
      <right/>
      <top style="thin"/>
      <bottom style="thin"/>
    </border>
    <border>
      <left/>
      <right/>
      <top style="thin"/>
      <bottom style="thin"/>
    </border>
    <border>
      <left/>
      <right style="thin"/>
      <top style="thin"/>
      <bottom style="thin"/>
    </border>
    <border>
      <left style="thick"/>
      <right/>
      <top style="thick"/>
      <bottom style="thick"/>
    </border>
    <border>
      <left/>
      <right/>
      <top style="thick"/>
      <bottom style="thick"/>
    </border>
    <border>
      <left/>
      <right style="thick"/>
      <top style="thick"/>
      <bottom style="thick"/>
    </border>
    <border>
      <left style="thick"/>
      <right style="thick"/>
      <top style="thick"/>
      <bottom/>
    </border>
    <border>
      <left style="thick"/>
      <right style="thick"/>
      <top/>
      <bottom/>
    </border>
    <border>
      <left style="thick"/>
      <right style="thick"/>
      <top/>
      <bottom style="thin"/>
    </border>
    <border>
      <left/>
      <right style="thin"/>
      <top style="thin"/>
      <bottom/>
    </border>
    <border>
      <left style="thin"/>
      <right/>
      <top/>
      <bottom style="thin"/>
    </border>
    <border>
      <left/>
      <right/>
      <top/>
      <bottom style="thin"/>
    </border>
    <border>
      <left/>
      <right style="thin"/>
      <top/>
      <bottom style="thin"/>
    </border>
    <border>
      <left style="thick"/>
      <right/>
      <top style="thick"/>
      <bottom style="thin"/>
    </border>
    <border>
      <left/>
      <right/>
      <top style="thick"/>
      <bottom style="thin"/>
    </border>
    <border>
      <left/>
      <right style="thick"/>
      <top style="thick"/>
      <bottom style="thin"/>
    </border>
    <border>
      <left/>
      <right style="thin"/>
      <top/>
      <bottom/>
    </border>
    <border>
      <left style="thick"/>
      <right/>
      <top/>
      <bottom style="thick"/>
    </border>
    <border>
      <left/>
      <right/>
      <top/>
      <bottom style="thick"/>
    </border>
    <border>
      <left/>
      <right style="thick"/>
      <top/>
      <bottom/>
    </border>
    <border>
      <left style="thick"/>
      <right/>
      <top style="thin"/>
      <bottom/>
    </border>
    <border>
      <left/>
      <right style="thick"/>
      <top style="thin"/>
      <bottom/>
    </border>
    <border>
      <left style="thick"/>
      <right/>
      <top/>
      <bottom style="thin"/>
    </border>
    <border>
      <left/>
      <right style="thick"/>
      <top/>
      <bottom style="thin"/>
    </border>
    <border>
      <left/>
      <right style="thick"/>
      <top/>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328">
    <xf numFmtId="0" fontId="0" fillId="0" borderId="0" xfId="0"/>
    <xf numFmtId="0" fontId="0" fillId="0" borderId="0" xfId="0" applyAlignment="1">
      <alignment wrapText="1"/>
    </xf>
    <xf numFmtId="0" fontId="2" fillId="0" borderId="0" xfId="0" applyFont="1" applyAlignment="1">
      <alignment horizontal="left" wrapText="1"/>
    </xf>
    <xf numFmtId="0" fontId="0" fillId="0" borderId="0" xfId="0" applyAlignment="1">
      <alignment horizontal="center" wrapText="1"/>
    </xf>
    <xf numFmtId="0" fontId="0" fillId="0" borderId="1" xfId="0" applyBorder="1" applyAlignment="1">
      <alignment horizontal="left" wrapText="1"/>
    </xf>
    <xf numFmtId="0" fontId="0" fillId="2" borderId="0" xfId="0" applyFill="1"/>
    <xf numFmtId="0" fontId="4" fillId="2" borderId="2"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xf>
    <xf numFmtId="0" fontId="4" fillId="2" borderId="4" xfId="0" applyFont="1" applyFill="1" applyBorder="1" applyAlignment="1">
      <alignment horizont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textRotation="90" wrapText="1"/>
    </xf>
    <xf numFmtId="0" fontId="0" fillId="2" borderId="0" xfId="0" applyFont="1" applyFill="1"/>
    <xf numFmtId="0" fontId="5" fillId="2" borderId="5" xfId="0" applyFont="1" applyFill="1" applyBorder="1" applyAlignment="1">
      <alignment horizontal="center" vertical="center" wrapText="1"/>
    </xf>
    <xf numFmtId="0" fontId="4" fillId="2" borderId="6" xfId="0" applyFont="1" applyFill="1" applyBorder="1" applyAlignment="1">
      <alignment horizontal="center"/>
    </xf>
    <xf numFmtId="0" fontId="4" fillId="2" borderId="4" xfId="0" applyFont="1" applyFill="1" applyBorder="1" applyAlignment="1">
      <alignment horizontal="left" vertical="top" wrapText="1"/>
    </xf>
    <xf numFmtId="2" fontId="4" fillId="3" borderId="5" xfId="0" applyNumberFormat="1"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164" fontId="4" fillId="3" borderId="5" xfId="0" applyNumberFormat="1" applyFont="1" applyFill="1" applyBorder="1" applyAlignment="1" applyProtection="1">
      <alignment horizontal="center" vertical="center" wrapText="1"/>
      <protection locked="0"/>
    </xf>
    <xf numFmtId="1" fontId="4" fillId="3" borderId="5" xfId="0" applyNumberFormat="1" applyFont="1" applyFill="1" applyBorder="1" applyAlignment="1" applyProtection="1">
      <alignment horizontal="center" vertical="center" wrapText="1"/>
      <protection locked="0"/>
    </xf>
    <xf numFmtId="0" fontId="0" fillId="0" borderId="11" xfId="0" applyBorder="1" applyAlignment="1">
      <alignment wrapText="1"/>
    </xf>
    <xf numFmtId="0" fontId="0" fillId="0" borderId="12" xfId="0" applyBorder="1" applyAlignment="1">
      <alignment wrapText="1"/>
    </xf>
    <xf numFmtId="0" fontId="0" fillId="4" borderId="0" xfId="0" applyFill="1" applyAlignment="1">
      <alignment wrapText="1"/>
    </xf>
    <xf numFmtId="0" fontId="6" fillId="5" borderId="5" xfId="0" applyFont="1" applyFill="1" applyBorder="1" applyAlignment="1">
      <alignment horizontal="center" vertical="center"/>
    </xf>
    <xf numFmtId="0" fontId="4" fillId="0" borderId="0" xfId="0" applyFont="1"/>
    <xf numFmtId="0" fontId="0" fillId="0" borderId="5" xfId="0" applyBorder="1"/>
    <xf numFmtId="0" fontId="2" fillId="0" borderId="5" xfId="0" applyFont="1" applyBorder="1"/>
    <xf numFmtId="0" fontId="0" fillId="0" borderId="5" xfId="0" applyBorder="1" applyAlignment="1">
      <alignment horizontal="center"/>
    </xf>
    <xf numFmtId="0" fontId="0" fillId="3" borderId="5" xfId="0" applyFill="1" applyBorder="1" applyAlignment="1">
      <alignment horizontal="center"/>
    </xf>
    <xf numFmtId="1" fontId="2" fillId="0" borderId="5" xfId="0" applyNumberFormat="1" applyFont="1" applyBorder="1" applyAlignment="1">
      <alignment horizontal="center"/>
    </xf>
    <xf numFmtId="0" fontId="0" fillId="6" borderId="9" xfId="0" applyFill="1" applyBorder="1" applyAlignment="1">
      <alignment horizontal="center" wrapText="1"/>
    </xf>
    <xf numFmtId="0" fontId="0" fillId="6" borderId="3" xfId="0" applyFill="1" applyBorder="1" applyAlignment="1">
      <alignment horizontal="center" wrapText="1"/>
    </xf>
    <xf numFmtId="0" fontId="0" fillId="6" borderId="10" xfId="0" applyFill="1" applyBorder="1" applyAlignment="1">
      <alignment horizontal="center" wrapText="1"/>
    </xf>
    <xf numFmtId="0" fontId="2" fillId="0" borderId="9" xfId="0" applyFont="1" applyBorder="1" applyAlignment="1">
      <alignment horizont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4" xfId="0" applyFont="1" applyFill="1" applyBorder="1" applyAlignment="1">
      <alignment horizontal="left" vertical="top"/>
    </xf>
    <xf numFmtId="0" fontId="5" fillId="2" borderId="1" xfId="0" applyFont="1" applyFill="1" applyBorder="1" applyAlignment="1">
      <alignment horizontal="left" vertical="top" wrapText="1"/>
    </xf>
    <xf numFmtId="0" fontId="5" fillId="2" borderId="0" xfId="0" applyFont="1" applyFill="1" applyAlignment="1">
      <alignment horizontal="center" vertical="center" textRotation="90" wrapText="1"/>
    </xf>
    <xf numFmtId="0" fontId="5" fillId="2" borderId="0" xfId="0" applyFont="1" applyFill="1" applyAlignment="1">
      <alignment horizontal="left" vertical="top" wrapText="1"/>
    </xf>
    <xf numFmtId="0" fontId="5" fillId="2" borderId="13" xfId="0" applyFont="1" applyFill="1" applyBorder="1" applyAlignment="1">
      <alignment horizontal="center" vertical="center" textRotation="90" wrapText="1"/>
    </xf>
    <xf numFmtId="0" fontId="5" fillId="2" borderId="14" xfId="0" applyFont="1" applyFill="1" applyBorder="1" applyAlignment="1">
      <alignment horizontal="left" vertical="top" wrapText="1"/>
    </xf>
    <xf numFmtId="2" fontId="5" fillId="2" borderId="15" xfId="0" applyNumberFormat="1" applyFont="1" applyFill="1" applyBorder="1" applyAlignment="1">
      <alignment horizontal="center" vertical="center" wrapText="1"/>
    </xf>
    <xf numFmtId="2" fontId="5" fillId="2" borderId="16" xfId="0" applyNumberFormat="1" applyFont="1" applyFill="1" applyBorder="1" applyAlignment="1">
      <alignment horizontal="center" vertical="center" wrapText="1"/>
    </xf>
    <xf numFmtId="2" fontId="5" fillId="2" borderId="17" xfId="0" applyNumberFormat="1" applyFont="1" applyFill="1" applyBorder="1" applyAlignment="1">
      <alignment horizontal="center" vertical="center" wrapText="1"/>
    </xf>
    <xf numFmtId="2" fontId="5" fillId="2" borderId="0" xfId="0" applyNumberFormat="1" applyFont="1" applyFill="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left" vertical="top"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left" vertical="top" wrapText="1"/>
    </xf>
    <xf numFmtId="0" fontId="2" fillId="2" borderId="10" xfId="0" applyFont="1" applyFill="1" applyBorder="1" applyAlignment="1">
      <alignment horizontal="center" vertical="center" textRotation="90" wrapText="1"/>
    </xf>
    <xf numFmtId="0" fontId="2" fillId="2" borderId="18" xfId="0" applyFont="1" applyFill="1" applyBorder="1" applyAlignment="1">
      <alignment horizontal="left" vertical="top" wrapText="1"/>
    </xf>
    <xf numFmtId="2" fontId="4" fillId="2" borderId="3" xfId="0" applyNumberFormat="1" applyFont="1" applyFill="1" applyBorder="1" applyAlignment="1" applyProtection="1">
      <alignment horizontal="center" vertical="center" wrapText="1"/>
      <protection locked="0"/>
    </xf>
    <xf numFmtId="2" fontId="4" fillId="2" borderId="5" xfId="0" applyNumberFormat="1" applyFont="1" applyFill="1" applyBorder="1" applyAlignment="1" applyProtection="1">
      <alignment horizontal="center" vertical="center" wrapText="1"/>
      <protection locked="0"/>
    </xf>
    <xf numFmtId="2" fontId="4" fillId="2" borderId="4" xfId="0" applyNumberFormat="1" applyFont="1" applyFill="1" applyBorder="1" applyAlignment="1" applyProtection="1">
      <alignment horizontal="center" vertical="center" wrapText="1"/>
      <protection locked="0"/>
    </xf>
    <xf numFmtId="2" fontId="4" fillId="2" borderId="10" xfId="0" applyNumberFormat="1" applyFont="1" applyFill="1" applyBorder="1" applyAlignment="1">
      <alignment horizontal="center" vertical="center" wrapText="1"/>
    </xf>
    <xf numFmtId="2" fontId="4" fillId="2" borderId="18"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9" xfId="0" applyNumberFormat="1" applyFont="1" applyFill="1" applyBorder="1" applyAlignment="1" applyProtection="1">
      <alignment horizontal="center" vertical="center" wrapText="1"/>
      <protection locked="0"/>
    </xf>
    <xf numFmtId="2" fontId="4" fillId="2" borderId="19" xfId="0" applyNumberFormat="1" applyFont="1" applyFill="1" applyBorder="1" applyAlignment="1" applyProtection="1">
      <alignment horizontal="center" vertical="center" wrapText="1"/>
      <protection locked="0"/>
    </xf>
    <xf numFmtId="2" fontId="4" fillId="2" borderId="2" xfId="0" applyNumberFormat="1" applyFont="1" applyFill="1" applyBorder="1" applyAlignment="1" applyProtection="1">
      <alignment horizontal="center" vertical="center" wrapText="1"/>
      <protection locked="0"/>
    </xf>
    <xf numFmtId="2" fontId="4" fillId="2" borderId="9" xfId="0" applyNumberFormat="1" applyFont="1" applyFill="1" applyBorder="1" applyAlignment="1">
      <alignment horizontal="center"/>
    </xf>
    <xf numFmtId="2" fontId="4" fillId="2" borderId="19" xfId="0" applyNumberFormat="1" applyFont="1" applyFill="1" applyBorder="1" applyAlignment="1">
      <alignment horizontal="center"/>
    </xf>
    <xf numFmtId="2" fontId="4"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5" xfId="0" applyNumberFormat="1" applyFont="1" applyFill="1" applyBorder="1" applyAlignment="1">
      <alignment horizontal="center"/>
    </xf>
    <xf numFmtId="2" fontId="4" fillId="2" borderId="4" xfId="0" applyNumberFormat="1" applyFont="1" applyFill="1" applyBorder="1" applyAlignment="1">
      <alignment horizontal="center"/>
    </xf>
    <xf numFmtId="2" fontId="4" fillId="2" borderId="10" xfId="0" applyNumberFormat="1" applyFont="1" applyFill="1" applyBorder="1" applyAlignment="1">
      <alignment horizontal="center"/>
    </xf>
    <xf numFmtId="2" fontId="4" fillId="2" borderId="18" xfId="0" applyNumberFormat="1" applyFont="1" applyFill="1" applyBorder="1" applyAlignment="1">
      <alignment horizontal="center"/>
    </xf>
    <xf numFmtId="2" fontId="4" fillId="2" borderId="1" xfId="0" applyNumberFormat="1" applyFont="1" applyFill="1" applyBorder="1" applyAlignment="1">
      <alignment horizontal="center"/>
    </xf>
    <xf numFmtId="0" fontId="0" fillId="2" borderId="10" xfId="0" applyFill="1" applyBorder="1"/>
    <xf numFmtId="0" fontId="0" fillId="2" borderId="18" xfId="0" applyFill="1" applyBorder="1"/>
    <xf numFmtId="0" fontId="0" fillId="2" borderId="1" xfId="0" applyFill="1" applyBorder="1"/>
    <xf numFmtId="0" fontId="4" fillId="2" borderId="3" xfId="0" applyFont="1" applyFill="1" applyBorder="1" applyAlignment="1">
      <alignment horizontal="center" vertical="center" textRotation="90" wrapText="1"/>
    </xf>
    <xf numFmtId="0" fontId="4" fillId="2" borderId="20" xfId="0" applyFont="1" applyFill="1" applyBorder="1" applyAlignment="1">
      <alignment horizontal="left" vertical="top" wrapText="1"/>
    </xf>
    <xf numFmtId="0" fontId="4" fillId="3" borderId="21"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protection locked="0"/>
    </xf>
    <xf numFmtId="1" fontId="4" fillId="2" borderId="24" xfId="0" applyNumberFormat="1" applyFont="1" applyFill="1" applyBorder="1" applyAlignment="1">
      <alignment horizontal="center" vertical="center" wrapText="1"/>
    </xf>
    <xf numFmtId="1" fontId="4" fillId="2" borderId="25" xfId="0" applyNumberFormat="1" applyFont="1" applyFill="1" applyBorder="1" applyAlignment="1">
      <alignment horizontal="center" vertical="center" wrapText="1"/>
    </xf>
    <xf numFmtId="1" fontId="4" fillId="2" borderId="26" xfId="0" applyNumberFormat="1" applyFont="1" applyFill="1" applyBorder="1" applyAlignment="1">
      <alignment horizontal="center" vertical="center" wrapText="1"/>
    </xf>
    <xf numFmtId="0" fontId="4" fillId="2" borderId="27" xfId="0" applyFont="1" applyFill="1" applyBorder="1" applyAlignment="1">
      <alignment horizontal="left" vertical="top" wrapText="1"/>
    </xf>
    <xf numFmtId="0" fontId="4" fillId="3" borderId="28"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164" fontId="4" fillId="3" borderId="31" xfId="0" applyNumberFormat="1" applyFont="1" applyFill="1" applyBorder="1" applyAlignment="1" applyProtection="1">
      <alignment horizontal="center" vertical="center" wrapText="1"/>
      <protection locked="0"/>
    </xf>
    <xf numFmtId="164" fontId="4" fillId="3" borderId="32" xfId="0" applyNumberFormat="1" applyFont="1" applyFill="1" applyBorder="1" applyAlignment="1" applyProtection="1">
      <alignment horizontal="center" vertical="center" wrapText="1"/>
      <protection locked="0"/>
    </xf>
    <xf numFmtId="2" fontId="4" fillId="3" borderId="31" xfId="0" applyNumberFormat="1" applyFont="1" applyFill="1" applyBorder="1" applyAlignment="1" applyProtection="1">
      <alignment horizontal="center" vertical="center" wrapText="1"/>
      <protection locked="0"/>
    </xf>
    <xf numFmtId="2" fontId="4" fillId="3" borderId="32" xfId="0" applyNumberFormat="1" applyFont="1" applyFill="1" applyBorder="1" applyAlignment="1" applyProtection="1">
      <alignment horizontal="center" vertical="center" wrapText="1"/>
      <protection locked="0"/>
    </xf>
    <xf numFmtId="2" fontId="4" fillId="3" borderId="33" xfId="0" applyNumberFormat="1" applyFont="1" applyFill="1" applyBorder="1" applyAlignment="1" applyProtection="1">
      <alignment horizontal="center" vertical="center" wrapText="1"/>
      <protection locked="0"/>
    </xf>
    <xf numFmtId="2" fontId="4" fillId="3" borderId="34" xfId="0" applyNumberFormat="1" applyFont="1" applyFill="1" applyBorder="1" applyAlignment="1" applyProtection="1">
      <alignment horizontal="center" vertical="center" wrapText="1"/>
      <protection locked="0"/>
    </xf>
    <xf numFmtId="2" fontId="4" fillId="3" borderId="35" xfId="0" applyNumberFormat="1" applyFont="1" applyFill="1" applyBorder="1" applyAlignment="1" applyProtection="1">
      <alignment horizontal="center" vertical="center" wrapText="1"/>
      <protection locked="0"/>
    </xf>
    <xf numFmtId="0" fontId="4" fillId="2" borderId="36" xfId="0" applyFont="1" applyFill="1" applyBorder="1" applyAlignment="1">
      <alignment horizontal="left" vertical="top" wrapText="1"/>
    </xf>
    <xf numFmtId="2" fontId="4" fillId="2" borderId="24"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1" fontId="4" fillId="3" borderId="28" xfId="0" applyNumberFormat="1" applyFont="1" applyFill="1" applyBorder="1" applyAlignment="1" applyProtection="1">
      <alignment horizontal="center" vertical="center" wrapText="1"/>
      <protection locked="0"/>
    </xf>
    <xf numFmtId="1" fontId="4" fillId="3" borderId="29" xfId="0" applyNumberFormat="1" applyFont="1" applyFill="1" applyBorder="1" applyAlignment="1" applyProtection="1">
      <alignment horizontal="center" vertical="center" wrapText="1"/>
      <protection locked="0"/>
    </xf>
    <xf numFmtId="1" fontId="4" fillId="3" borderId="30" xfId="0" applyNumberFormat="1" applyFont="1" applyFill="1" applyBorder="1" applyAlignment="1" applyProtection="1">
      <alignment horizontal="center" vertical="center" wrapText="1"/>
      <protection locked="0"/>
    </xf>
    <xf numFmtId="0" fontId="4" fillId="3" borderId="33"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2" borderId="20" xfId="0" applyFont="1" applyFill="1" applyBorder="1" applyAlignment="1">
      <alignment horizontal="left" vertical="top"/>
    </xf>
    <xf numFmtId="0" fontId="4" fillId="2" borderId="27" xfId="0" applyFont="1" applyFill="1" applyBorder="1" applyAlignment="1">
      <alignment horizontal="left" vertical="top"/>
    </xf>
    <xf numFmtId="2" fontId="4" fillId="2" borderId="24" xfId="0" applyNumberFormat="1" applyFont="1" applyFill="1" applyBorder="1" applyAlignment="1">
      <alignment horizontal="center" vertical="center"/>
    </xf>
    <xf numFmtId="2" fontId="4" fillId="2" borderId="25" xfId="0" applyNumberFormat="1" applyFont="1" applyFill="1" applyBorder="1" applyAlignment="1">
      <alignment horizontal="center" vertical="center"/>
    </xf>
    <xf numFmtId="2" fontId="4" fillId="2" borderId="26" xfId="0" applyNumberFormat="1" applyFont="1" applyFill="1" applyBorder="1" applyAlignment="1">
      <alignment horizontal="center" vertical="center"/>
    </xf>
    <xf numFmtId="2" fontId="5" fillId="7" borderId="37" xfId="0" applyNumberFormat="1" applyFont="1" applyFill="1" applyBorder="1" applyAlignment="1">
      <alignment horizontal="center" vertical="center" wrapText="1"/>
    </xf>
    <xf numFmtId="2" fontId="5" fillId="7" borderId="38" xfId="0" applyNumberFormat="1" applyFont="1" applyFill="1" applyBorder="1" applyAlignment="1">
      <alignment horizontal="center" vertical="center" wrapText="1"/>
    </xf>
    <xf numFmtId="2" fontId="5" fillId="7" borderId="39" xfId="0" applyNumberFormat="1" applyFont="1" applyFill="1" applyBorder="1" applyAlignment="1">
      <alignment horizontal="center" vertical="center" wrapText="1"/>
    </xf>
    <xf numFmtId="0" fontId="4" fillId="3" borderId="2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2" fontId="4" fillId="3" borderId="33" xfId="0" applyNumberFormat="1" applyFont="1" applyFill="1" applyBorder="1" applyAlignment="1" applyProtection="1">
      <alignment horizontal="center" vertical="center"/>
      <protection locked="0"/>
    </xf>
    <xf numFmtId="2" fontId="4" fillId="3" borderId="34" xfId="0" applyNumberFormat="1" applyFont="1" applyFill="1" applyBorder="1" applyAlignment="1" applyProtection="1">
      <alignment horizontal="center" vertical="center"/>
      <protection locked="0"/>
    </xf>
    <xf numFmtId="2" fontId="4" fillId="3" borderId="35" xfId="0" applyNumberFormat="1" applyFont="1" applyFill="1" applyBorder="1" applyAlignment="1" applyProtection="1">
      <alignment horizontal="center" vertical="center"/>
      <protection locked="0"/>
    </xf>
    <xf numFmtId="10" fontId="4" fillId="3" borderId="21" xfId="0" applyNumberFormat="1" applyFont="1" applyFill="1" applyBorder="1" applyAlignment="1" applyProtection="1">
      <alignment horizontal="center" vertical="center"/>
      <protection locked="0"/>
    </xf>
    <xf numFmtId="10" fontId="4" fillId="3" borderId="22" xfId="0" applyNumberFormat="1" applyFont="1" applyFill="1" applyBorder="1" applyAlignment="1" applyProtection="1">
      <alignment horizontal="center" vertical="center"/>
      <protection locked="0"/>
    </xf>
    <xf numFmtId="10" fontId="4" fillId="3" borderId="23" xfId="0" applyNumberFormat="1" applyFont="1" applyFill="1" applyBorder="1" applyAlignment="1" applyProtection="1">
      <alignment horizontal="center" vertical="center"/>
      <protection locked="0"/>
    </xf>
    <xf numFmtId="2" fontId="4" fillId="3" borderId="21" xfId="0" applyNumberFormat="1" applyFont="1" applyFill="1" applyBorder="1" applyAlignment="1" applyProtection="1">
      <alignment horizontal="center" vertical="center" wrapText="1"/>
      <protection locked="0"/>
    </xf>
    <xf numFmtId="2" fontId="4" fillId="3" borderId="22" xfId="0" applyNumberFormat="1" applyFont="1" applyFill="1" applyBorder="1" applyAlignment="1" applyProtection="1">
      <alignment horizontal="center" vertical="center" wrapText="1"/>
      <protection locked="0"/>
    </xf>
    <xf numFmtId="2" fontId="4" fillId="3" borderId="23" xfId="0" applyNumberFormat="1" applyFont="1" applyFill="1" applyBorder="1" applyAlignment="1" applyProtection="1">
      <alignment horizontal="center" vertical="center" wrapText="1"/>
      <protection locked="0"/>
    </xf>
    <xf numFmtId="2" fontId="4" fillId="3" borderId="28" xfId="0" applyNumberFormat="1" applyFont="1" applyFill="1" applyBorder="1" applyAlignment="1" applyProtection="1">
      <alignment horizontal="center" vertical="center" wrapText="1"/>
      <protection locked="0"/>
    </xf>
    <xf numFmtId="2" fontId="4" fillId="3" borderId="29" xfId="0" applyNumberFormat="1" applyFont="1" applyFill="1" applyBorder="1" applyAlignment="1" applyProtection="1">
      <alignment horizontal="center" vertical="center" wrapText="1"/>
      <protection locked="0"/>
    </xf>
    <xf numFmtId="2" fontId="4" fillId="3" borderId="30" xfId="0" applyNumberFormat="1" applyFont="1" applyFill="1" applyBorder="1" applyAlignment="1" applyProtection="1">
      <alignment horizontal="center" vertical="center" wrapText="1"/>
      <protection locked="0"/>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0" fillId="3" borderId="34" xfId="0" applyFill="1" applyBorder="1"/>
    <xf numFmtId="0" fontId="0" fillId="3" borderId="35" xfId="0" applyFill="1" applyBorder="1"/>
    <xf numFmtId="1" fontId="4" fillId="3" borderId="21" xfId="0" applyNumberFormat="1" applyFont="1" applyFill="1" applyBorder="1" applyAlignment="1" applyProtection="1">
      <alignment horizontal="center" vertical="center" wrapText="1"/>
      <protection locked="0"/>
    </xf>
    <xf numFmtId="1" fontId="4" fillId="3" borderId="22" xfId="0" applyNumberFormat="1" applyFont="1" applyFill="1" applyBorder="1" applyAlignment="1" applyProtection="1">
      <alignment horizontal="center" vertical="center" wrapText="1"/>
      <protection locked="0"/>
    </xf>
    <xf numFmtId="1" fontId="4" fillId="3" borderId="23" xfId="0" applyNumberFormat="1" applyFont="1" applyFill="1" applyBorder="1" applyAlignment="1" applyProtection="1">
      <alignment horizontal="center" vertical="center" wrapText="1"/>
      <protection locked="0"/>
    </xf>
    <xf numFmtId="1" fontId="4" fillId="3" borderId="31" xfId="0" applyNumberFormat="1" applyFont="1" applyFill="1" applyBorder="1" applyAlignment="1" applyProtection="1">
      <alignment horizontal="center" vertical="center" wrapText="1"/>
      <protection locked="0"/>
    </xf>
    <xf numFmtId="1" fontId="4" fillId="3" borderId="32" xfId="0" applyNumberFormat="1" applyFont="1" applyFill="1" applyBorder="1" applyAlignment="1" applyProtection="1">
      <alignment horizontal="center" vertical="center" wrapText="1"/>
      <protection locked="0"/>
    </xf>
    <xf numFmtId="0" fontId="3" fillId="0" borderId="40" xfId="20" applyBorder="1" applyAlignment="1">
      <alignment horizontal="left" vertical="center" wrapText="1"/>
    </xf>
    <xf numFmtId="0" fontId="2" fillId="2" borderId="37" xfId="0" applyFont="1" applyFill="1" applyBorder="1" applyAlignment="1">
      <alignment horizontal="left" wrapText="1"/>
    </xf>
    <xf numFmtId="0" fontId="2" fillId="3" borderId="41" xfId="0" applyFont="1" applyFill="1" applyBorder="1" applyAlignment="1">
      <alignment horizontal="left" wrapText="1"/>
    </xf>
    <xf numFmtId="0" fontId="0" fillId="0" borderId="42" xfId="0" applyBorder="1"/>
    <xf numFmtId="0" fontId="4" fillId="0" borderId="43" xfId="0" applyFont="1" applyBorder="1"/>
    <xf numFmtId="0" fontId="4" fillId="0" borderId="5" xfId="0" applyFont="1" applyBorder="1" applyAlignment="1">
      <alignment horizontal="center" vertical="center" wrapText="1"/>
    </xf>
    <xf numFmtId="0" fontId="11" fillId="0" borderId="27" xfId="0" applyFont="1" applyBorder="1" applyAlignment="1">
      <alignment horizontal="center" vertical="center"/>
    </xf>
    <xf numFmtId="0" fontId="4" fillId="8" borderId="5" xfId="0" applyFont="1" applyFill="1" applyBorder="1" applyAlignment="1">
      <alignment horizontal="center" vertical="center" wrapText="1"/>
    </xf>
    <xf numFmtId="0" fontId="5" fillId="0" borderId="5" xfId="0" applyFont="1" applyBorder="1" applyAlignment="1">
      <alignment horizontal="center" vertical="center" wrapText="1"/>
    </xf>
    <xf numFmtId="2" fontId="6" fillId="8" borderId="5" xfId="0" applyNumberFormat="1" applyFont="1" applyFill="1" applyBorder="1" applyAlignment="1">
      <alignment horizontal="center" vertical="center" wrapText="1"/>
    </xf>
    <xf numFmtId="2" fontId="6" fillId="0" borderId="5" xfId="0" applyNumberFormat="1" applyFont="1" applyBorder="1" applyAlignment="1">
      <alignment horizontal="center" vertical="center" wrapText="1"/>
    </xf>
    <xf numFmtId="2" fontId="12" fillId="8" borderId="5" xfId="0" applyNumberFormat="1" applyFont="1" applyFill="1" applyBorder="1" applyAlignment="1">
      <alignment horizontal="center" vertical="center" wrapText="1"/>
    </xf>
    <xf numFmtId="2" fontId="4" fillId="8" borderId="5" xfId="0" applyNumberFormat="1" applyFont="1" applyFill="1" applyBorder="1" applyAlignment="1">
      <alignment horizontal="center" vertical="center" wrapText="1"/>
    </xf>
    <xf numFmtId="164" fontId="4" fillId="8" borderId="5" xfId="0" applyNumberFormat="1" applyFont="1" applyFill="1" applyBorder="1" applyAlignment="1">
      <alignment horizontal="center" vertical="center" wrapText="1"/>
    </xf>
    <xf numFmtId="164" fontId="4" fillId="0" borderId="5"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2" fontId="4" fillId="0" borderId="5" xfId="0" applyNumberFormat="1" applyFont="1" applyBorder="1" applyAlignment="1">
      <alignment horizontal="center"/>
    </xf>
    <xf numFmtId="2" fontId="12" fillId="0" borderId="5" xfId="0" applyNumberFormat="1" applyFont="1" applyBorder="1" applyAlignment="1">
      <alignment horizontal="center"/>
    </xf>
    <xf numFmtId="0" fontId="4" fillId="0" borderId="5" xfId="0" applyFont="1" applyBorder="1" applyAlignment="1">
      <alignment horizontal="center" vertical="center"/>
    </xf>
    <xf numFmtId="2" fontId="4" fillId="0" borderId="5" xfId="0" applyNumberFormat="1" applyFont="1" applyBorder="1" applyAlignment="1">
      <alignment horizontal="center" vertical="center"/>
    </xf>
    <xf numFmtId="10" fontId="4" fillId="0" borderId="5" xfId="0" applyNumberFormat="1" applyFont="1" applyBorder="1" applyAlignment="1">
      <alignment horizontal="center" vertical="center"/>
    </xf>
    <xf numFmtId="0" fontId="5" fillId="0" borderId="5" xfId="0" applyFont="1" applyBorder="1" applyAlignment="1">
      <alignment horizontal="center" vertical="center" textRotation="90" wrapText="1"/>
    </xf>
    <xf numFmtId="2" fontId="5" fillId="0" borderId="5" xfId="0" applyNumberFormat="1" applyFont="1" applyBorder="1" applyAlignment="1">
      <alignment horizontal="center" vertical="center" wrapText="1"/>
    </xf>
    <xf numFmtId="2" fontId="13" fillId="0" borderId="5" xfId="0" applyNumberFormat="1" applyFont="1" applyBorder="1" applyAlignment="1">
      <alignment horizontal="center" vertical="center" wrapText="1"/>
    </xf>
    <xf numFmtId="2" fontId="0" fillId="2" borderId="4" xfId="0" applyNumberFormat="1" applyFill="1" applyBorder="1" applyAlignment="1">
      <alignment horizontal="center" vertical="center" wrapText="1"/>
    </xf>
    <xf numFmtId="2" fontId="0" fillId="2" borderId="4" xfId="0" applyNumberFormat="1" applyFill="1" applyBorder="1" applyAlignment="1">
      <alignment horizontal="center" wrapText="1"/>
    </xf>
    <xf numFmtId="2" fontId="9" fillId="2" borderId="4" xfId="0" applyNumberFormat="1" applyFont="1" applyFill="1" applyBorder="1" applyAlignment="1">
      <alignment horizontal="center" wrapText="1"/>
    </xf>
    <xf numFmtId="1" fontId="0" fillId="2" borderId="5" xfId="0" applyNumberFormat="1" applyFill="1" applyBorder="1" applyAlignment="1">
      <alignment horizontal="center"/>
    </xf>
    <xf numFmtId="165" fontId="0" fillId="2" borderId="5" xfId="15" applyNumberFormat="1" applyFont="1" applyFill="1" applyBorder="1" applyAlignment="1">
      <alignment horizontal="center"/>
    </xf>
    <xf numFmtId="1" fontId="2" fillId="2" borderId="5" xfId="0" applyNumberFormat="1" applyFont="1" applyFill="1" applyBorder="1" applyAlignment="1">
      <alignment horizontal="center" vertical="center"/>
    </xf>
    <xf numFmtId="0" fontId="0" fillId="0" borderId="40" xfId="0" applyBorder="1" applyAlignment="1">
      <alignment wrapText="1"/>
    </xf>
    <xf numFmtId="0" fontId="0" fillId="2" borderId="7" xfId="0" applyFill="1" applyBorder="1" applyAlignment="1">
      <alignment wrapText="1"/>
    </xf>
    <xf numFmtId="2" fontId="0" fillId="2" borderId="44" xfId="0" applyNumberFormat="1" applyFill="1" applyBorder="1" applyAlignment="1">
      <alignment horizontal="center" vertical="center" wrapText="1"/>
    </xf>
    <xf numFmtId="1" fontId="3" fillId="2" borderId="26" xfId="20" applyNumberFormat="1" applyFill="1" applyBorder="1" applyAlignment="1" applyProtection="1">
      <alignment horizontal="center" vertical="center" wrapText="1"/>
      <protection/>
    </xf>
    <xf numFmtId="2" fontId="0" fillId="2" borderId="26" xfId="0" applyNumberFormat="1" applyFill="1" applyBorder="1" applyAlignment="1">
      <alignment horizontal="center" vertical="center" wrapText="1"/>
    </xf>
    <xf numFmtId="0" fontId="0" fillId="2" borderId="44" xfId="0" applyFill="1" applyBorder="1" applyAlignment="1">
      <alignment horizontal="center" vertical="center" wrapText="1"/>
    </xf>
    <xf numFmtId="2" fontId="2" fillId="2" borderId="26" xfId="0" applyNumberFormat="1" applyFont="1" applyFill="1" applyBorder="1" applyAlignment="1">
      <alignment horizontal="center" vertical="center" wrapText="1"/>
    </xf>
    <xf numFmtId="2" fontId="2" fillId="3" borderId="45" xfId="0" applyNumberFormat="1" applyFont="1" applyFill="1" applyBorder="1" applyAlignment="1">
      <alignment horizontal="center" vertical="center" wrapText="1"/>
    </xf>
    <xf numFmtId="2" fontId="9" fillId="3" borderId="46" xfId="0" applyNumberFormat="1" applyFont="1" applyFill="1" applyBorder="1" applyAlignment="1">
      <alignment horizontal="center" vertical="center" wrapText="1"/>
    </xf>
    <xf numFmtId="0" fontId="0" fillId="3" borderId="41" xfId="0" applyFill="1" applyBorder="1" applyAlignment="1">
      <alignment horizontal="center" vertical="center" wrapText="1"/>
    </xf>
    <xf numFmtId="0" fontId="7" fillId="3" borderId="45" xfId="0" applyFont="1" applyFill="1" applyBorder="1" applyAlignment="1">
      <alignment horizontal="center" vertical="center" wrapText="1"/>
    </xf>
    <xf numFmtId="0" fontId="9" fillId="3" borderId="47" xfId="0" applyFont="1" applyFill="1" applyBorder="1" applyAlignment="1">
      <alignment horizontal="center" vertical="center" wrapText="1"/>
    </xf>
    <xf numFmtId="164" fontId="0" fillId="3" borderId="47" xfId="0" applyNumberFormat="1" applyFill="1" applyBorder="1" applyAlignment="1">
      <alignment horizontal="center" vertical="center" wrapText="1"/>
    </xf>
    <xf numFmtId="0" fontId="7" fillId="3" borderId="47" xfId="15" applyNumberFormat="1" applyFont="1" applyFill="1" applyBorder="1" applyAlignment="1" applyProtection="1">
      <alignment horizontal="center" vertical="center" wrapText="1"/>
      <protection/>
    </xf>
    <xf numFmtId="0" fontId="7" fillId="3" borderId="46" xfId="0" applyFont="1" applyFill="1" applyBorder="1" applyAlignment="1">
      <alignment horizontal="center" vertical="center" wrapText="1"/>
    </xf>
    <xf numFmtId="1" fontId="0" fillId="3" borderId="45" xfId="0" applyNumberFormat="1" applyFill="1" applyBorder="1" applyAlignment="1">
      <alignment horizontal="center" vertical="center" wrapText="1"/>
    </xf>
    <xf numFmtId="0" fontId="7" fillId="3" borderId="47" xfId="0" applyFont="1" applyFill="1" applyBorder="1" applyAlignment="1">
      <alignment horizontal="center" vertical="center" wrapText="1"/>
    </xf>
    <xf numFmtId="0" fontId="0" fillId="3" borderId="46" xfId="0" applyFill="1" applyBorder="1" applyAlignment="1">
      <alignment horizontal="center" vertical="center" wrapText="1"/>
    </xf>
    <xf numFmtId="10" fontId="7" fillId="3" borderId="41" xfId="0" applyNumberFormat="1" applyFont="1" applyFill="1" applyBorder="1" applyAlignment="1">
      <alignment horizontal="center" vertical="center" wrapText="1"/>
    </xf>
    <xf numFmtId="2" fontId="2" fillId="3" borderId="41" xfId="0" applyNumberFormat="1" applyFont="1" applyFill="1" applyBorder="1" applyAlignment="1">
      <alignment horizontal="center" vertical="center" wrapText="1"/>
    </xf>
    <xf numFmtId="2" fontId="10" fillId="3" borderId="41" xfId="0" applyNumberFormat="1" applyFont="1" applyFill="1" applyBorder="1" applyAlignment="1">
      <alignment horizontal="center" vertical="center" wrapText="1"/>
    </xf>
    <xf numFmtId="0" fontId="0" fillId="2" borderId="5" xfId="0" applyFill="1" applyBorder="1" applyAlignment="1">
      <alignment horizontal="left" vertical="top" wrapText="1"/>
    </xf>
    <xf numFmtId="0" fontId="0" fillId="0" borderId="0" xfId="0" applyAlignment="1">
      <alignment horizont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3" fillId="0" borderId="5" xfId="20" applyBorder="1" applyAlignment="1">
      <alignment horizontal="left" vertical="top" wrapText="1"/>
    </xf>
    <xf numFmtId="0" fontId="3" fillId="0" borderId="4" xfId="20" applyBorder="1" applyAlignment="1">
      <alignment horizontal="left" vertical="top" wrapText="1"/>
    </xf>
    <xf numFmtId="0" fontId="3" fillId="0" borderId="18" xfId="20" applyBorder="1" applyAlignment="1">
      <alignment horizontal="left" vertical="top" wrapText="1"/>
    </xf>
    <xf numFmtId="0" fontId="3" fillId="0" borderId="1" xfId="20" applyBorder="1" applyAlignment="1">
      <alignment horizontal="left" vertical="top" wrapText="1"/>
    </xf>
    <xf numFmtId="0" fontId="2" fillId="6" borderId="0" xfId="0" applyFont="1" applyFill="1" applyAlignment="1">
      <alignment horizontal="center"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2" borderId="3" xfId="0" applyFill="1" applyBorder="1" applyAlignment="1">
      <alignment horizontal="center" vertical="center" wrapText="1"/>
    </xf>
    <xf numFmtId="0" fontId="0" fillId="0" borderId="5" xfId="0" applyBorder="1" applyAlignment="1">
      <alignment horizontal="left" vertical="top" wrapText="1"/>
    </xf>
    <xf numFmtId="0" fontId="0" fillId="0" borderId="27" xfId="0" applyBorder="1" applyAlignment="1">
      <alignment horizontal="left" vertical="top" wrapText="1"/>
    </xf>
    <xf numFmtId="0" fontId="9" fillId="0" borderId="5" xfId="0" applyFont="1" applyBorder="1" applyAlignment="1">
      <alignment horizontal="left" vertical="top" wrapText="1"/>
    </xf>
    <xf numFmtId="0" fontId="9" fillId="0" borderId="27" xfId="0" applyFont="1" applyBorder="1" applyAlignment="1">
      <alignment horizontal="left" vertical="top" wrapText="1"/>
    </xf>
    <xf numFmtId="0" fontId="0" fillId="0" borderId="5" xfId="0" applyBorder="1" applyAlignment="1">
      <alignment horizontal="left" vertical="center" wrapText="1"/>
    </xf>
    <xf numFmtId="0" fontId="0" fillId="0" borderId="27" xfId="0" applyBorder="1" applyAlignment="1">
      <alignment horizontal="left" vertical="center" wrapText="1"/>
    </xf>
    <xf numFmtId="0" fontId="2" fillId="9" borderId="0" xfId="0" applyFont="1" applyFill="1" applyAlignment="1">
      <alignment horizontal="center" wrapText="1"/>
    </xf>
    <xf numFmtId="0" fontId="3" fillId="0" borderId="5" xfId="20" applyBorder="1" applyAlignment="1">
      <alignment horizontal="left" wrapText="1"/>
    </xf>
    <xf numFmtId="0" fontId="3" fillId="0" borderId="4" xfId="20" applyBorder="1" applyAlignment="1">
      <alignment horizontal="left" wrapText="1"/>
    </xf>
    <xf numFmtId="0" fontId="0" fillId="0" borderId="19" xfId="0" applyBorder="1" applyAlignment="1">
      <alignment horizontal="center" wrapText="1"/>
    </xf>
    <xf numFmtId="0" fontId="0" fillId="0" borderId="2" xfId="0" applyBorder="1" applyAlignment="1">
      <alignment horizontal="center" wrapText="1"/>
    </xf>
    <xf numFmtId="0" fontId="0" fillId="2" borderId="4" xfId="0" applyFill="1" applyBorder="1" applyAlignment="1">
      <alignment horizontal="left" vertical="top" wrapText="1"/>
    </xf>
    <xf numFmtId="0" fontId="0" fillId="0" borderId="18" xfId="0" applyBorder="1" applyAlignment="1">
      <alignment horizontal="left" vertical="top" wrapText="1"/>
    </xf>
    <xf numFmtId="0" fontId="2" fillId="0" borderId="19"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5" xfId="0" applyBorder="1" applyAlignment="1">
      <alignment horizontal="center" vertical="center" wrapText="1"/>
    </xf>
    <xf numFmtId="0" fontId="2" fillId="2" borderId="4"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0" xfId="0" applyAlignment="1">
      <alignment horizontal="center"/>
    </xf>
    <xf numFmtId="0" fontId="9" fillId="0" borderId="5" xfId="0" applyFont="1" applyBorder="1" applyAlignment="1">
      <alignment horizontal="left" vertical="center" wrapText="1"/>
    </xf>
    <xf numFmtId="0" fontId="9" fillId="0" borderId="27" xfId="0" applyFont="1" applyBorder="1" applyAlignment="1">
      <alignment horizontal="left" vertical="center" wrapText="1"/>
    </xf>
    <xf numFmtId="0" fontId="2" fillId="2" borderId="19"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4" borderId="43" xfId="0" applyFill="1" applyBorder="1" applyAlignment="1">
      <alignment horizontal="left" wrapText="1"/>
    </xf>
    <xf numFmtId="0" fontId="0" fillId="0" borderId="19"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18" xfId="0" applyBorder="1" applyAlignment="1">
      <alignment horizontal="left"/>
    </xf>
    <xf numFmtId="0" fontId="0" fillId="0" borderId="1" xfId="0" applyBorder="1" applyAlignment="1">
      <alignment horizontal="left"/>
    </xf>
    <xf numFmtId="0" fontId="5" fillId="0" borderId="5"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8" borderId="5"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5" fillId="8" borderId="49" xfId="0" applyFont="1" applyFill="1" applyBorder="1" applyAlignment="1">
      <alignment horizontal="center" vertical="center" wrapText="1"/>
    </xf>
    <xf numFmtId="0" fontId="5" fillId="8" borderId="50" xfId="0" applyFont="1" applyFill="1" applyBorder="1" applyAlignment="1">
      <alignment horizontal="center" vertical="center" wrapText="1"/>
    </xf>
    <xf numFmtId="0" fontId="4" fillId="0" borderId="5" xfId="0" applyFont="1" applyBorder="1" applyAlignment="1">
      <alignment horizontal="left" vertical="center" wrapText="1"/>
    </xf>
    <xf numFmtId="0" fontId="5" fillId="0" borderId="27"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8" fillId="2" borderId="9" xfId="20" applyFont="1" applyFill="1" applyBorder="1" applyAlignment="1" applyProtection="1">
      <alignment horizontal="center"/>
      <protection/>
    </xf>
    <xf numFmtId="0" fontId="8" fillId="2" borderId="2" xfId="20" applyFont="1" applyFill="1" applyBorder="1" applyAlignment="1" applyProtection="1">
      <alignment horizontal="center"/>
      <protection/>
    </xf>
    <xf numFmtId="0" fontId="5" fillId="2" borderId="9" xfId="0" applyFont="1" applyFill="1" applyBorder="1" applyAlignment="1">
      <alignment horizontal="center" vertical="top"/>
    </xf>
    <xf numFmtId="0" fontId="5" fillId="2" borderId="19" xfId="0" applyFont="1" applyFill="1" applyBorder="1" applyAlignment="1">
      <alignment horizontal="center" vertical="top"/>
    </xf>
    <xf numFmtId="0" fontId="5" fillId="2" borderId="2" xfId="0" applyFont="1" applyFill="1" applyBorder="1" applyAlignment="1">
      <alignment horizontal="center" vertical="top"/>
    </xf>
    <xf numFmtId="0" fontId="5" fillId="2" borderId="9" xfId="0" applyFont="1" applyFill="1" applyBorder="1" applyAlignment="1">
      <alignment horizontal="left" vertical="top"/>
    </xf>
    <xf numFmtId="0" fontId="5" fillId="2" borderId="19" xfId="0" applyFont="1" applyFill="1" applyBorder="1" applyAlignment="1">
      <alignment horizontal="left" vertical="top"/>
    </xf>
    <xf numFmtId="0" fontId="5" fillId="2" borderId="2" xfId="0" applyFont="1" applyFill="1" applyBorder="1" applyAlignment="1">
      <alignment horizontal="left" vertical="top"/>
    </xf>
    <xf numFmtId="0" fontId="4" fillId="2" borderId="9"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61" xfId="0" applyFont="1" applyFill="1" applyBorder="1" applyAlignment="1">
      <alignment horizontal="left" vertical="top" wrapText="1"/>
    </xf>
    <xf numFmtId="0" fontId="4" fillId="2" borderId="62" xfId="0" applyFont="1" applyFill="1" applyBorder="1" applyAlignment="1">
      <alignment horizontal="left" vertical="top" wrapText="1"/>
    </xf>
    <xf numFmtId="0" fontId="4" fillId="2" borderId="63"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6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7" xfId="0" applyFont="1" applyFill="1" applyBorder="1" applyAlignment="1">
      <alignment horizontal="center" vertical="center" wrapText="1"/>
    </xf>
    <xf numFmtId="0" fontId="4" fillId="2" borderId="27" xfId="0" applyFont="1" applyFill="1" applyBorder="1" applyAlignment="1">
      <alignment horizontal="left" vertical="top" wrapText="1"/>
    </xf>
    <xf numFmtId="0" fontId="0" fillId="2" borderId="68" xfId="0" applyFont="1" applyFill="1" applyBorder="1" applyAlignment="1">
      <alignment horizontal="center"/>
    </xf>
    <xf numFmtId="0" fontId="0" fillId="2" borderId="43" xfId="0" applyFont="1" applyFill="1" applyBorder="1" applyAlignment="1">
      <alignment horizontal="center"/>
    </xf>
    <xf numFmtId="0" fontId="0" fillId="2" borderId="69" xfId="0" applyFont="1" applyFill="1" applyBorder="1" applyAlignment="1">
      <alignment horizontal="center"/>
    </xf>
    <xf numFmtId="0" fontId="0" fillId="2" borderId="70" xfId="0" applyFont="1" applyFill="1" applyBorder="1" applyAlignment="1">
      <alignment horizontal="center"/>
    </xf>
    <xf numFmtId="0" fontId="0" fillId="2" borderId="59" xfId="0" applyFont="1" applyFill="1" applyBorder="1" applyAlignment="1">
      <alignment horizontal="center"/>
    </xf>
    <xf numFmtId="0" fontId="0" fillId="2" borderId="71" xfId="0" applyFont="1" applyFill="1" applyBorder="1" applyAlignment="1">
      <alignment horizont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0" xfId="0" applyFont="1" applyFill="1" applyAlignment="1">
      <alignment horizontal="center" vertical="center"/>
    </xf>
    <xf numFmtId="0" fontId="5" fillId="2" borderId="52" xfId="0" applyFont="1" applyFill="1" applyBorder="1" applyAlignment="1">
      <alignment horizontal="center" vertical="center"/>
    </xf>
    <xf numFmtId="0" fontId="5" fillId="2" borderId="6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72" xfId="0" applyFont="1" applyFill="1" applyBorder="1" applyAlignment="1">
      <alignment horizontal="center" vertical="center" wrapText="1"/>
    </xf>
    <xf numFmtId="0" fontId="5" fillId="2" borderId="5"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center" vertical="center"/>
    </xf>
    <xf numFmtId="0" fontId="5" fillId="2" borderId="5" xfId="0" applyFont="1" applyFill="1" applyBorder="1" applyAlignment="1">
      <alignment horizontal="left" vertical="top"/>
    </xf>
    <xf numFmtId="0" fontId="5" fillId="2" borderId="4" xfId="0" applyFont="1" applyFill="1" applyBorder="1" applyAlignment="1">
      <alignment horizontal="left" vertical="top"/>
    </xf>
    <xf numFmtId="0" fontId="5" fillId="2" borderId="3"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rrt.lt/d/didmenines-centrines-prieigos-fiksuotoje-vietoje-masines-rinkos-produktams-rinka-3/" TargetMode="External" /><Relationship Id="rId2" Type="http://schemas.openxmlformats.org/officeDocument/2006/relationships/hyperlink" Target="https://e-seimas.lrs.lt/portal/legalAct/lt/TAD/TAIS.268862/asr" TargetMode="External" /><Relationship Id="rId3" Type="http://schemas.openxmlformats.org/officeDocument/2006/relationships/hyperlink" Target="https://e-seimas.lrs.lt/portal/legalAct/lt/TAD/TAIS.279016/asr"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2127A-739C-474F-9831-A45DA1D60DC8}">
  <dimension ref="A1:O73"/>
  <sheetViews>
    <sheetView tabSelected="1" zoomScale="85" zoomScaleNormal="85" workbookViewId="0" topLeftCell="A59">
      <selection activeCell="J75" sqref="J75"/>
    </sheetView>
  </sheetViews>
  <sheetFormatPr defaultColWidth="0" defaultRowHeight="15" outlineLevelRow="1" outlineLevelCol="1"/>
  <cols>
    <col min="1" max="1" width="12.00390625" style="32" customWidth="1"/>
    <col min="2" max="2" width="73.28125" style="32" customWidth="1" outlineLevel="1"/>
    <col min="3" max="3" width="15.28125" style="32" customWidth="1" outlineLevel="1"/>
    <col min="4" max="4" width="17.7109375" style="32" customWidth="1" outlineLevel="1"/>
    <col min="5" max="6" width="8.8515625" style="32" customWidth="1" outlineLevel="1"/>
    <col min="7" max="13" width="8.8515625" style="32" customWidth="1"/>
    <col min="14" max="14" width="12.140625" style="32" customWidth="1"/>
    <col min="15" max="15" width="14.140625" style="32" customWidth="1"/>
    <col min="16" max="16" width="0" style="1" hidden="1" customWidth="1"/>
    <col min="17" max="16384" width="0" style="1" hidden="1" customWidth="1"/>
  </cols>
  <sheetData>
    <row r="1" spans="1:15" ht="15">
      <c r="A1" s="225" t="s">
        <v>55</v>
      </c>
      <c r="B1" s="225"/>
      <c r="C1" s="225"/>
      <c r="D1" s="225"/>
      <c r="E1" s="225"/>
      <c r="F1" s="225"/>
      <c r="G1" s="225"/>
      <c r="H1" s="225"/>
      <c r="I1" s="225"/>
      <c r="J1" s="225"/>
      <c r="K1" s="225"/>
      <c r="L1" s="225"/>
      <c r="M1" s="225"/>
      <c r="N1" s="225"/>
      <c r="O1" s="225"/>
    </row>
    <row r="2" spans="1:15" ht="15">
      <c r="A2" s="225"/>
      <c r="B2" s="225"/>
      <c r="C2" s="225"/>
      <c r="D2" s="225"/>
      <c r="E2" s="225"/>
      <c r="F2" s="225"/>
      <c r="G2" s="225"/>
      <c r="H2" s="225"/>
      <c r="I2" s="225"/>
      <c r="J2" s="225"/>
      <c r="K2" s="225"/>
      <c r="L2" s="225"/>
      <c r="M2" s="225"/>
      <c r="N2" s="225"/>
      <c r="O2" s="225"/>
    </row>
    <row r="3" s="206" customFormat="1" ht="3.6" customHeight="1"/>
    <row r="4" spans="1:15" ht="15" thickBot="1">
      <c r="A4" s="214" t="s">
        <v>56</v>
      </c>
      <c r="B4" s="214"/>
      <c r="C4" s="214"/>
      <c r="D4" s="214"/>
      <c r="E4" s="214"/>
      <c r="F4" s="214"/>
      <c r="G4" s="214"/>
      <c r="H4" s="214"/>
      <c r="I4" s="214"/>
      <c r="J4" s="214"/>
      <c r="K4" s="214"/>
      <c r="L4" s="214"/>
      <c r="M4" s="214"/>
      <c r="N4" s="214"/>
      <c r="O4" s="214"/>
    </row>
    <row r="5" spans="1:15" ht="15" outlineLevel="1" thickTop="1">
      <c r="A5" s="40" t="s">
        <v>57</v>
      </c>
      <c r="B5" s="248" t="s">
        <v>58</v>
      </c>
      <c r="C5" s="248"/>
      <c r="D5" s="248"/>
      <c r="E5" s="248"/>
      <c r="F5" s="248"/>
      <c r="G5" s="249"/>
      <c r="H5" s="3"/>
      <c r="I5" s="3"/>
      <c r="J5" s="3"/>
      <c r="K5" s="3"/>
      <c r="L5" s="3"/>
      <c r="M5" s="3"/>
      <c r="N5" s="3"/>
      <c r="O5" s="3"/>
    </row>
    <row r="6" spans="1:15" ht="15" outlineLevel="1">
      <c r="A6" s="41" t="s">
        <v>60</v>
      </c>
      <c r="B6" s="219" t="s">
        <v>62</v>
      </c>
      <c r="C6" s="219"/>
      <c r="D6" s="219"/>
      <c r="E6" s="219"/>
      <c r="F6" s="219"/>
      <c r="G6" s="250"/>
      <c r="H6" s="3"/>
      <c r="I6" s="3"/>
      <c r="J6" s="3"/>
      <c r="K6" s="3"/>
      <c r="L6" s="3"/>
      <c r="M6" s="3"/>
      <c r="N6" s="3"/>
      <c r="O6" s="3"/>
    </row>
    <row r="7" spans="1:15" ht="15" outlineLevel="1">
      <c r="A7" s="41" t="s">
        <v>61</v>
      </c>
      <c r="B7" s="219" t="s">
        <v>70</v>
      </c>
      <c r="C7" s="219"/>
      <c r="D7" s="219"/>
      <c r="E7" s="219"/>
      <c r="F7" s="219"/>
      <c r="G7" s="250"/>
      <c r="H7" s="3"/>
      <c r="I7" s="3"/>
      <c r="J7" s="3"/>
      <c r="K7" s="3"/>
      <c r="L7" s="3"/>
      <c r="M7" s="3"/>
      <c r="N7" s="3"/>
      <c r="O7" s="3"/>
    </row>
    <row r="8" spans="1:15" ht="28.8" outlineLevel="1">
      <c r="A8" s="41" t="s">
        <v>68</v>
      </c>
      <c r="B8" s="219" t="s">
        <v>63</v>
      </c>
      <c r="C8" s="219"/>
      <c r="D8" s="219"/>
      <c r="E8" s="219"/>
      <c r="F8" s="219"/>
      <c r="G8" s="250"/>
      <c r="H8" s="3"/>
      <c r="I8" s="3"/>
      <c r="J8" s="3"/>
      <c r="K8" s="3"/>
      <c r="L8" s="3"/>
      <c r="M8" s="3"/>
      <c r="N8" s="3"/>
      <c r="O8" s="3"/>
    </row>
    <row r="9" spans="1:15" ht="15" outlineLevel="1">
      <c r="A9" s="41" t="s">
        <v>64</v>
      </c>
      <c r="B9" s="219" t="s">
        <v>65</v>
      </c>
      <c r="C9" s="219"/>
      <c r="D9" s="219"/>
      <c r="E9" s="219"/>
      <c r="F9" s="219"/>
      <c r="G9" s="250"/>
      <c r="H9" s="3"/>
      <c r="I9" s="3"/>
      <c r="J9" s="3"/>
      <c r="K9" s="3"/>
      <c r="L9" s="3"/>
      <c r="M9" s="3"/>
      <c r="N9" s="3"/>
      <c r="O9" s="3"/>
    </row>
    <row r="10" spans="1:15" ht="15" outlineLevel="1" thickBot="1">
      <c r="A10" s="42" t="s">
        <v>103</v>
      </c>
      <c r="B10" s="251" t="s">
        <v>104</v>
      </c>
      <c r="C10" s="251"/>
      <c r="D10" s="251"/>
      <c r="E10" s="251"/>
      <c r="F10" s="251"/>
      <c r="G10" s="252"/>
      <c r="H10" s="3"/>
      <c r="I10" s="3"/>
      <c r="J10" s="3"/>
      <c r="K10" s="3"/>
      <c r="L10" s="3"/>
      <c r="M10" s="3"/>
      <c r="N10" s="3"/>
      <c r="O10" s="3"/>
    </row>
    <row r="11" spans="1:15" ht="15" outlineLevel="1" thickTop="1">
      <c r="A11" s="3"/>
      <c r="B11" s="3"/>
      <c r="C11" s="3"/>
      <c r="D11" s="3"/>
      <c r="E11" s="3"/>
      <c r="F11" s="3"/>
      <c r="G11" s="3"/>
      <c r="H11" s="3"/>
      <c r="I11" s="3"/>
      <c r="J11" s="3"/>
      <c r="K11" s="3"/>
      <c r="L11" s="3"/>
      <c r="M11" s="3"/>
      <c r="N11" s="3"/>
      <c r="O11" s="3"/>
    </row>
    <row r="12" spans="1:15" ht="15" thickBot="1">
      <c r="A12" s="214" t="s">
        <v>59</v>
      </c>
      <c r="B12" s="214"/>
      <c r="C12" s="214"/>
      <c r="D12" s="214"/>
      <c r="E12" s="214"/>
      <c r="F12" s="214"/>
      <c r="G12" s="214"/>
      <c r="H12" s="214"/>
      <c r="I12" s="214"/>
      <c r="J12" s="214"/>
      <c r="K12" s="214"/>
      <c r="L12" s="214"/>
      <c r="M12" s="214"/>
      <c r="N12" s="214"/>
      <c r="O12" s="214"/>
    </row>
    <row r="13" spans="1:15" ht="15" outlineLevel="1" thickTop="1">
      <c r="A13" s="43" t="s">
        <v>66</v>
      </c>
      <c r="B13" s="228" t="s">
        <v>67</v>
      </c>
      <c r="C13" s="228"/>
      <c r="D13" s="228"/>
      <c r="E13" s="228"/>
      <c r="F13" s="228"/>
      <c r="G13" s="228"/>
      <c r="H13" s="228"/>
      <c r="I13" s="228"/>
      <c r="J13" s="228"/>
      <c r="K13" s="228"/>
      <c r="L13" s="228"/>
      <c r="M13" s="228"/>
      <c r="N13" s="228"/>
      <c r="O13" s="229"/>
    </row>
    <row r="14" spans="1:15" ht="15" outlineLevel="1">
      <c r="A14" s="41" t="s">
        <v>69</v>
      </c>
      <c r="B14" s="226" t="s">
        <v>74</v>
      </c>
      <c r="C14" s="226"/>
      <c r="D14" s="226"/>
      <c r="E14" s="226"/>
      <c r="F14" s="226"/>
      <c r="G14" s="226"/>
      <c r="H14" s="226"/>
      <c r="I14" s="226"/>
      <c r="J14" s="226"/>
      <c r="K14" s="226"/>
      <c r="L14" s="226"/>
      <c r="M14" s="226"/>
      <c r="N14" s="226"/>
      <c r="O14" s="227"/>
    </row>
    <row r="15" spans="1:15" ht="15" outlineLevel="1">
      <c r="A15" s="41" t="s">
        <v>72</v>
      </c>
      <c r="B15" s="210" t="s">
        <v>94</v>
      </c>
      <c r="C15" s="210"/>
      <c r="D15" s="210"/>
      <c r="E15" s="210"/>
      <c r="F15" s="210"/>
      <c r="G15" s="210"/>
      <c r="H15" s="210"/>
      <c r="I15" s="210"/>
      <c r="J15" s="210"/>
      <c r="K15" s="210"/>
      <c r="L15" s="210"/>
      <c r="M15" s="210"/>
      <c r="N15" s="210"/>
      <c r="O15" s="211"/>
    </row>
    <row r="16" spans="1:15" ht="15" outlineLevel="1" thickBot="1">
      <c r="A16" s="42" t="s">
        <v>73</v>
      </c>
      <c r="B16" s="212" t="s">
        <v>95</v>
      </c>
      <c r="C16" s="212"/>
      <c r="D16" s="212"/>
      <c r="E16" s="212"/>
      <c r="F16" s="212"/>
      <c r="G16" s="212"/>
      <c r="H16" s="212"/>
      <c r="I16" s="212"/>
      <c r="J16" s="212"/>
      <c r="K16" s="212"/>
      <c r="L16" s="212"/>
      <c r="M16" s="212"/>
      <c r="N16" s="212"/>
      <c r="O16" s="213"/>
    </row>
    <row r="17" spans="1:15" ht="15" outlineLevel="1" thickTop="1">
      <c r="A17" s="1"/>
      <c r="B17" s="1"/>
      <c r="C17" s="1"/>
      <c r="D17" s="1"/>
      <c r="E17"/>
      <c r="F17" s="1"/>
      <c r="G17" s="1"/>
      <c r="H17" s="1"/>
      <c r="I17" s="1"/>
      <c r="J17" s="1"/>
      <c r="K17" s="1"/>
      <c r="L17" s="1"/>
      <c r="M17" s="1"/>
      <c r="N17" s="1"/>
      <c r="O17" s="1"/>
    </row>
    <row r="18" spans="1:15" ht="14.4" customHeight="1" thickBot="1">
      <c r="A18" s="214" t="s">
        <v>75</v>
      </c>
      <c r="B18" s="214"/>
      <c r="C18" s="214"/>
      <c r="D18" s="214"/>
      <c r="E18" s="214"/>
      <c r="F18" s="214"/>
      <c r="G18" s="214"/>
      <c r="H18" s="214"/>
      <c r="I18" s="214"/>
      <c r="J18" s="214"/>
      <c r="K18" s="214"/>
      <c r="L18" s="214"/>
      <c r="M18" s="214"/>
      <c r="N18" s="214"/>
      <c r="O18" s="214"/>
    </row>
    <row r="19" spans="1:15" ht="117.6" customHeight="1" outlineLevel="1" thickBot="1" thickTop="1">
      <c r="A19" s="215" t="s">
        <v>113</v>
      </c>
      <c r="B19" s="216"/>
      <c r="C19" s="216"/>
      <c r="D19" s="216"/>
      <c r="E19" s="216"/>
      <c r="F19" s="216"/>
      <c r="G19" s="216"/>
      <c r="H19" s="216"/>
      <c r="I19" s="216"/>
      <c r="J19" s="216"/>
      <c r="K19" s="216"/>
      <c r="L19" s="216"/>
      <c r="M19" s="216"/>
      <c r="N19" s="216"/>
      <c r="O19" s="217"/>
    </row>
    <row r="20" spans="1:15" ht="18" customHeight="1" outlineLevel="1" thickBot="1" thickTop="1">
      <c r="A20" s="155"/>
      <c r="B20" s="153" t="s">
        <v>78</v>
      </c>
      <c r="C20" s="2"/>
      <c r="D20" s="2"/>
      <c r="E20"/>
      <c r="F20" s="1"/>
      <c r="G20" s="1"/>
      <c r="H20" s="1"/>
      <c r="I20" s="1"/>
      <c r="J20" s="1"/>
      <c r="K20" s="1"/>
      <c r="L20" s="1"/>
      <c r="M20" s="1"/>
      <c r="N20" s="1"/>
      <c r="O20" s="1"/>
    </row>
    <row r="21" spans="1:15" ht="30" outlineLevel="1" thickBot="1" thickTop="1">
      <c r="A21" s="154"/>
      <c r="B21" s="4" t="s">
        <v>112</v>
      </c>
      <c r="C21" s="2"/>
      <c r="D21" s="2"/>
      <c r="E21"/>
      <c r="F21" s="1"/>
      <c r="G21" s="1"/>
      <c r="H21" s="1"/>
      <c r="I21" s="1"/>
      <c r="J21" s="1"/>
      <c r="K21" s="1"/>
      <c r="L21" s="1"/>
      <c r="M21" s="1"/>
      <c r="N21" s="1"/>
      <c r="O21" s="1"/>
    </row>
    <row r="22" spans="1:15" ht="15" thickTop="1">
      <c r="A22" s="2"/>
      <c r="B22" s="2"/>
      <c r="C22" s="2"/>
      <c r="D22" s="2"/>
      <c r="E22"/>
      <c r="F22" s="1"/>
      <c r="G22" s="1"/>
      <c r="H22" s="1"/>
      <c r="I22" s="1"/>
      <c r="J22" s="1"/>
      <c r="K22" s="1"/>
      <c r="L22" s="1"/>
      <c r="M22" s="1"/>
      <c r="N22" s="1"/>
      <c r="O22" s="1"/>
    </row>
    <row r="23" spans="1:15" ht="15" thickBot="1">
      <c r="A23" s="214" t="s">
        <v>76</v>
      </c>
      <c r="B23" s="214"/>
      <c r="C23" s="214"/>
      <c r="D23" s="214"/>
      <c r="E23" s="214"/>
      <c r="F23" s="214"/>
      <c r="G23" s="214"/>
      <c r="H23" s="214"/>
      <c r="I23" s="214"/>
      <c r="J23" s="214"/>
      <c r="K23" s="214"/>
      <c r="L23" s="214"/>
      <c r="M23" s="214"/>
      <c r="N23" s="214"/>
      <c r="O23" s="214"/>
    </row>
    <row r="24" spans="1:15" ht="43.8" outlineLevel="1" thickTop="1">
      <c r="A24" s="246"/>
      <c r="B24" s="245" t="s">
        <v>11</v>
      </c>
      <c r="C24" s="232" t="s">
        <v>54</v>
      </c>
      <c r="D24" s="232"/>
      <c r="E24" s="232"/>
      <c r="F24" s="232"/>
      <c r="G24" s="232"/>
      <c r="H24" s="232"/>
      <c r="I24" s="232"/>
      <c r="J24" s="232"/>
      <c r="K24" s="232"/>
      <c r="L24" s="232"/>
      <c r="M24" s="232"/>
      <c r="N24" s="58" t="s">
        <v>115</v>
      </c>
      <c r="O24" s="239" t="s">
        <v>92</v>
      </c>
    </row>
    <row r="25" spans="1:15" ht="15" outlineLevel="1">
      <c r="A25" s="218"/>
      <c r="B25" s="235"/>
      <c r="C25" s="233"/>
      <c r="D25" s="233"/>
      <c r="E25" s="233"/>
      <c r="F25" s="233"/>
      <c r="G25" s="233"/>
      <c r="H25" s="233"/>
      <c r="I25" s="233"/>
      <c r="J25" s="233"/>
      <c r="K25" s="233"/>
      <c r="L25" s="233"/>
      <c r="M25" s="233"/>
      <c r="N25" s="60">
        <v>100</v>
      </c>
      <c r="O25" s="240"/>
    </row>
    <row r="26" spans="1:15" ht="14.4" customHeight="1" outlineLevel="1" thickBot="1">
      <c r="A26" s="234" t="s">
        <v>1</v>
      </c>
      <c r="B26" s="235"/>
      <c r="C26" s="235"/>
      <c r="D26" s="235"/>
      <c r="E26" s="235"/>
      <c r="F26" s="235"/>
      <c r="G26" s="235"/>
      <c r="H26" s="235"/>
      <c r="I26" s="235"/>
      <c r="J26" s="235"/>
      <c r="K26" s="235"/>
      <c r="L26" s="235"/>
      <c r="M26" s="235"/>
      <c r="N26" s="236"/>
      <c r="O26" s="241"/>
    </row>
    <row r="27" spans="1:15" ht="15" outlineLevel="1" thickTop="1">
      <c r="A27" s="218">
        <v>1</v>
      </c>
      <c r="B27" s="61" t="s">
        <v>13</v>
      </c>
      <c r="C27" s="223" t="s">
        <v>124</v>
      </c>
      <c r="D27" s="223"/>
      <c r="E27" s="223"/>
      <c r="F27" s="223"/>
      <c r="G27" s="223"/>
      <c r="H27" s="223"/>
      <c r="I27" s="223"/>
      <c r="J27" s="223"/>
      <c r="K27" s="223"/>
      <c r="L27" s="223"/>
      <c r="M27" s="224"/>
      <c r="N27" s="191">
        <v>7.9</v>
      </c>
      <c r="O27" s="184"/>
    </row>
    <row r="28" spans="1:15" ht="45.6" customHeight="1" outlineLevel="1" thickBot="1">
      <c r="A28" s="218"/>
      <c r="B28" s="61" t="s">
        <v>14</v>
      </c>
      <c r="C28" s="223" t="s">
        <v>124</v>
      </c>
      <c r="D28" s="223"/>
      <c r="E28" s="223"/>
      <c r="F28" s="223"/>
      <c r="G28" s="223"/>
      <c r="H28" s="223"/>
      <c r="I28" s="223"/>
      <c r="J28" s="223"/>
      <c r="K28" s="223"/>
      <c r="L28" s="223"/>
      <c r="M28" s="224"/>
      <c r="N28" s="192">
        <f>50+6.5</f>
        <v>56.5</v>
      </c>
      <c r="O28" s="184"/>
    </row>
    <row r="29" spans="1:15" ht="15.6" customHeight="1" outlineLevel="1" thickTop="1">
      <c r="A29" s="218"/>
      <c r="B29" s="61" t="s">
        <v>15</v>
      </c>
      <c r="C29" s="219" t="s">
        <v>77</v>
      </c>
      <c r="D29" s="219"/>
      <c r="E29" s="219"/>
      <c r="F29" s="219"/>
      <c r="G29" s="219"/>
      <c r="H29" s="219"/>
      <c r="I29" s="219"/>
      <c r="J29" s="219"/>
      <c r="K29" s="219"/>
      <c r="L29" s="219"/>
      <c r="M29" s="219"/>
      <c r="N29" s="186">
        <f>N28/N31</f>
        <v>2.3541666666666665</v>
      </c>
      <c r="O29" s="30"/>
    </row>
    <row r="30" spans="1:15" ht="14.4" customHeight="1" outlineLevel="1" thickBot="1">
      <c r="A30" s="207" t="s">
        <v>2</v>
      </c>
      <c r="B30" s="208"/>
      <c r="C30" s="208"/>
      <c r="D30" s="208"/>
      <c r="E30" s="208"/>
      <c r="F30" s="208"/>
      <c r="G30" s="208"/>
      <c r="H30" s="208"/>
      <c r="I30" s="208"/>
      <c r="J30" s="208"/>
      <c r="K30" s="208"/>
      <c r="L30" s="208"/>
      <c r="M30" s="209"/>
      <c r="N30" s="185"/>
      <c r="O30" s="30"/>
    </row>
    <row r="31" spans="1:15" ht="15.6" outlineLevel="1" thickBot="1" thickTop="1">
      <c r="A31" s="59">
        <v>2</v>
      </c>
      <c r="B31" s="61" t="s">
        <v>3</v>
      </c>
      <c r="C31" s="219" t="s">
        <v>114</v>
      </c>
      <c r="D31" s="219"/>
      <c r="E31" s="219"/>
      <c r="F31" s="219"/>
      <c r="G31" s="219"/>
      <c r="H31" s="219"/>
      <c r="I31" s="219"/>
      <c r="J31" s="219"/>
      <c r="K31" s="219"/>
      <c r="L31" s="219"/>
      <c r="M31" s="220"/>
      <c r="N31" s="193">
        <v>24</v>
      </c>
      <c r="O31" s="184"/>
    </row>
    <row r="32" spans="1:15" ht="62.4" customHeight="1" outlineLevel="1" thickBot="1" thickTop="1">
      <c r="A32" s="59">
        <v>3</v>
      </c>
      <c r="B32" s="61" t="s">
        <v>4</v>
      </c>
      <c r="C32" s="219" t="s">
        <v>123</v>
      </c>
      <c r="D32" s="219"/>
      <c r="E32" s="219"/>
      <c r="F32" s="219"/>
      <c r="G32" s="219"/>
      <c r="H32" s="219"/>
      <c r="I32" s="219"/>
      <c r="J32" s="219"/>
      <c r="K32" s="219"/>
      <c r="L32" s="219"/>
      <c r="M32" s="219"/>
      <c r="N32" s="187">
        <f>+F72</f>
        <v>978.2073560121253</v>
      </c>
      <c r="O32" s="30"/>
    </row>
    <row r="33" spans="1:15" ht="28.2" customHeight="1" outlineLevel="1" thickTop="1">
      <c r="A33" s="59">
        <v>4</v>
      </c>
      <c r="B33" s="61" t="s">
        <v>16</v>
      </c>
      <c r="C33" s="219" t="s">
        <v>17</v>
      </c>
      <c r="D33" s="219"/>
      <c r="E33" s="219"/>
      <c r="F33" s="219"/>
      <c r="G33" s="219"/>
      <c r="H33" s="219"/>
      <c r="I33" s="219"/>
      <c r="J33" s="219"/>
      <c r="K33" s="219"/>
      <c r="L33" s="219"/>
      <c r="M33" s="220"/>
      <c r="N33" s="194"/>
      <c r="O33" s="184" t="s">
        <v>88</v>
      </c>
    </row>
    <row r="34" spans="1:15" ht="15" outlineLevel="1">
      <c r="A34" s="59">
        <v>5</v>
      </c>
      <c r="B34" s="61" t="s">
        <v>18</v>
      </c>
      <c r="C34" s="221" t="s">
        <v>116</v>
      </c>
      <c r="D34" s="221"/>
      <c r="E34" s="221"/>
      <c r="F34" s="221"/>
      <c r="G34" s="221"/>
      <c r="H34" s="221"/>
      <c r="I34" s="221"/>
      <c r="J34" s="221"/>
      <c r="K34" s="221"/>
      <c r="L34" s="221"/>
      <c r="M34" s="222"/>
      <c r="N34" s="195">
        <v>0.154</v>
      </c>
      <c r="O34" s="184"/>
    </row>
    <row r="35" spans="1:15" ht="15" outlineLevel="1">
      <c r="A35" s="59">
        <v>6</v>
      </c>
      <c r="B35" s="61" t="s">
        <v>19</v>
      </c>
      <c r="C35" s="223" t="s">
        <v>116</v>
      </c>
      <c r="D35" s="223"/>
      <c r="E35" s="223"/>
      <c r="F35" s="223"/>
      <c r="G35" s="223"/>
      <c r="H35" s="223"/>
      <c r="I35" s="223"/>
      <c r="J35" s="223"/>
      <c r="K35" s="223"/>
      <c r="L35" s="223"/>
      <c r="M35" s="224"/>
      <c r="N35" s="196">
        <v>0.129</v>
      </c>
      <c r="O35" s="184"/>
    </row>
    <row r="36" spans="1:15" ht="26.4" customHeight="1" outlineLevel="1">
      <c r="A36" s="218">
        <v>7</v>
      </c>
      <c r="B36" s="205" t="s">
        <v>20</v>
      </c>
      <c r="C36" s="243" t="s">
        <v>91</v>
      </c>
      <c r="D36" s="243"/>
      <c r="E36" s="243"/>
      <c r="F36" s="243"/>
      <c r="G36" s="243"/>
      <c r="H36" s="243"/>
      <c r="I36" s="243"/>
      <c r="J36" s="243"/>
      <c r="K36" s="243"/>
      <c r="L36" s="243"/>
      <c r="M36" s="244"/>
      <c r="N36" s="197"/>
      <c r="O36" s="184" t="s">
        <v>90</v>
      </c>
    </row>
    <row r="37" spans="1:15" ht="27.6" customHeight="1" outlineLevel="1" thickBot="1">
      <c r="A37" s="218"/>
      <c r="B37" s="205"/>
      <c r="C37" s="243"/>
      <c r="D37" s="243"/>
      <c r="E37" s="243"/>
      <c r="F37" s="243"/>
      <c r="G37" s="243"/>
      <c r="H37" s="243"/>
      <c r="I37" s="243"/>
      <c r="J37" s="243"/>
      <c r="K37" s="243"/>
      <c r="L37" s="243"/>
      <c r="M37" s="244"/>
      <c r="N37" s="198"/>
      <c r="O37" s="184" t="s">
        <v>89</v>
      </c>
    </row>
    <row r="38" spans="1:15" ht="32.4" customHeight="1" outlineLevel="1" thickBot="1" thickTop="1">
      <c r="A38" s="59"/>
      <c r="B38" s="61" t="s">
        <v>21</v>
      </c>
      <c r="C38" s="223" t="s">
        <v>22</v>
      </c>
      <c r="D38" s="223"/>
      <c r="E38" s="223"/>
      <c r="F38" s="223"/>
      <c r="G38" s="223"/>
      <c r="H38" s="223"/>
      <c r="I38" s="223"/>
      <c r="J38" s="223"/>
      <c r="K38" s="223"/>
      <c r="L38" s="223"/>
      <c r="M38" s="223"/>
      <c r="N38" s="188" t="e">
        <f aca="true" t="shared" si="0" ref="N38">N32*N25/N33/1000</f>
        <v>#DIV/0!</v>
      </c>
      <c r="O38" s="30"/>
    </row>
    <row r="39" spans="1:15" ht="15" outlineLevel="1" thickTop="1">
      <c r="A39" s="59"/>
      <c r="B39" s="61" t="s">
        <v>23</v>
      </c>
      <c r="C39" s="223" t="s">
        <v>109</v>
      </c>
      <c r="D39" s="223"/>
      <c r="E39" s="223"/>
      <c r="F39" s="223"/>
      <c r="G39" s="223"/>
      <c r="H39" s="223"/>
      <c r="I39" s="223"/>
      <c r="J39" s="223"/>
      <c r="K39" s="223"/>
      <c r="L39" s="223"/>
      <c r="M39" s="224"/>
      <c r="N39" s="199">
        <v>59</v>
      </c>
      <c r="O39" s="184"/>
    </row>
    <row r="40" spans="1:15" ht="15" outlineLevel="1">
      <c r="A40" s="59">
        <v>8</v>
      </c>
      <c r="B40" s="61" t="s">
        <v>24</v>
      </c>
      <c r="C40" s="219" t="s">
        <v>117</v>
      </c>
      <c r="D40" s="219"/>
      <c r="E40" s="219"/>
      <c r="F40" s="219"/>
      <c r="G40" s="219"/>
      <c r="H40" s="219"/>
      <c r="I40" s="219"/>
      <c r="J40" s="219"/>
      <c r="K40" s="219"/>
      <c r="L40" s="219"/>
      <c r="M40" s="220"/>
      <c r="N40" s="200"/>
      <c r="O40" s="184" t="s">
        <v>88</v>
      </c>
    </row>
    <row r="41" spans="1:15" ht="36.6" customHeight="1" outlineLevel="1" thickBot="1">
      <c r="A41" s="59">
        <v>9</v>
      </c>
      <c r="B41" s="61" t="s">
        <v>25</v>
      </c>
      <c r="C41" s="223" t="s">
        <v>118</v>
      </c>
      <c r="D41" s="223"/>
      <c r="E41" s="223"/>
      <c r="F41" s="223"/>
      <c r="G41" s="223"/>
      <c r="H41" s="223"/>
      <c r="I41" s="223"/>
      <c r="J41" s="223"/>
      <c r="K41" s="223"/>
      <c r="L41" s="223"/>
      <c r="M41" s="224"/>
      <c r="N41" s="201">
        <v>3</v>
      </c>
      <c r="O41" s="184"/>
    </row>
    <row r="42" spans="1:15" ht="15" outlineLevel="1" thickTop="1">
      <c r="A42" s="59">
        <v>10</v>
      </c>
      <c r="B42" s="61" t="s">
        <v>26</v>
      </c>
      <c r="C42" s="237"/>
      <c r="D42" s="237"/>
      <c r="E42" s="237"/>
      <c r="F42" s="237"/>
      <c r="G42" s="237"/>
      <c r="H42" s="237"/>
      <c r="I42" s="237"/>
      <c r="J42" s="237"/>
      <c r="K42" s="237"/>
      <c r="L42" s="237"/>
      <c r="M42" s="237"/>
      <c r="N42" s="189"/>
      <c r="O42" s="30"/>
    </row>
    <row r="43" spans="1:15" ht="14.4" customHeight="1" outlineLevel="1">
      <c r="A43" s="234" t="s">
        <v>5</v>
      </c>
      <c r="B43" s="235"/>
      <c r="C43" s="235"/>
      <c r="D43" s="235"/>
      <c r="E43" s="235"/>
      <c r="F43" s="235"/>
      <c r="G43" s="235"/>
      <c r="H43" s="235"/>
      <c r="I43" s="235"/>
      <c r="J43" s="235"/>
      <c r="K43" s="235"/>
      <c r="L43" s="235"/>
      <c r="M43" s="235"/>
      <c r="N43" s="238"/>
      <c r="O43" s="30"/>
    </row>
    <row r="44" spans="1:15" ht="15" outlineLevel="1">
      <c r="A44" s="218">
        <v>11</v>
      </c>
      <c r="B44" s="205" t="s">
        <v>27</v>
      </c>
      <c r="C44" s="205"/>
      <c r="D44" s="205"/>
      <c r="E44" s="205"/>
      <c r="F44" s="205"/>
      <c r="G44" s="205"/>
      <c r="H44" s="205"/>
      <c r="I44" s="205"/>
      <c r="J44" s="205"/>
      <c r="K44" s="205"/>
      <c r="L44" s="205"/>
      <c r="M44" s="205"/>
      <c r="N44" s="230"/>
      <c r="O44" s="30"/>
    </row>
    <row r="45" spans="1:15" ht="15" outlineLevel="1">
      <c r="A45" s="218"/>
      <c r="B45" s="205" t="s">
        <v>28</v>
      </c>
      <c r="C45" s="205"/>
      <c r="D45" s="205"/>
      <c r="E45" s="205"/>
      <c r="F45" s="205"/>
      <c r="G45" s="205"/>
      <c r="H45" s="205"/>
      <c r="I45" s="205"/>
      <c r="J45" s="205"/>
      <c r="K45" s="205"/>
      <c r="L45" s="205"/>
      <c r="M45" s="205"/>
      <c r="N45" s="230"/>
      <c r="O45" s="30"/>
    </row>
    <row r="46" spans="1:15" ht="15" outlineLevel="1">
      <c r="A46" s="218"/>
      <c r="B46" s="205" t="s">
        <v>29</v>
      </c>
      <c r="C46" s="205"/>
      <c r="D46" s="205"/>
      <c r="E46" s="205"/>
      <c r="F46" s="205"/>
      <c r="G46" s="205"/>
      <c r="H46" s="205"/>
      <c r="I46" s="205"/>
      <c r="J46" s="205"/>
      <c r="K46" s="205"/>
      <c r="L46" s="205"/>
      <c r="M46" s="205"/>
      <c r="N46" s="230"/>
      <c r="O46" s="30"/>
    </row>
    <row r="47" spans="1:15" ht="15" outlineLevel="1">
      <c r="A47" s="218"/>
      <c r="B47" s="205" t="s">
        <v>30</v>
      </c>
      <c r="C47" s="205"/>
      <c r="D47" s="205"/>
      <c r="E47" s="205"/>
      <c r="F47" s="205"/>
      <c r="G47" s="205"/>
      <c r="H47" s="205"/>
      <c r="I47" s="205"/>
      <c r="J47" s="205"/>
      <c r="K47" s="205"/>
      <c r="L47" s="205"/>
      <c r="M47" s="205"/>
      <c r="N47" s="230"/>
      <c r="O47" s="30"/>
    </row>
    <row r="48" spans="1:15" ht="15" outlineLevel="1">
      <c r="A48" s="218"/>
      <c r="B48" s="205" t="s">
        <v>31</v>
      </c>
      <c r="C48" s="205"/>
      <c r="D48" s="205"/>
      <c r="E48" s="205"/>
      <c r="F48" s="205"/>
      <c r="G48" s="205"/>
      <c r="H48" s="205"/>
      <c r="I48" s="205"/>
      <c r="J48" s="205"/>
      <c r="K48" s="205"/>
      <c r="L48" s="205"/>
      <c r="M48" s="205"/>
      <c r="N48" s="230"/>
      <c r="O48" s="30"/>
    </row>
    <row r="49" spans="1:15" ht="15" outlineLevel="1">
      <c r="A49" s="218"/>
      <c r="B49" s="205" t="s">
        <v>32</v>
      </c>
      <c r="C49" s="205"/>
      <c r="D49" s="205"/>
      <c r="E49" s="205"/>
      <c r="F49" s="205"/>
      <c r="G49" s="205"/>
      <c r="H49" s="205"/>
      <c r="I49" s="205"/>
      <c r="J49" s="205"/>
      <c r="K49" s="205"/>
      <c r="L49" s="205"/>
      <c r="M49" s="205"/>
      <c r="N49" s="230"/>
      <c r="O49" s="30"/>
    </row>
    <row r="50" spans="1:15" ht="14.4" customHeight="1" outlineLevel="1">
      <c r="A50" s="234" t="s">
        <v>6</v>
      </c>
      <c r="B50" s="235"/>
      <c r="C50" s="235"/>
      <c r="D50" s="235"/>
      <c r="E50" s="235"/>
      <c r="F50" s="235"/>
      <c r="G50" s="235"/>
      <c r="H50" s="235"/>
      <c r="I50" s="235"/>
      <c r="J50" s="235"/>
      <c r="K50" s="235"/>
      <c r="L50" s="235"/>
      <c r="M50" s="235"/>
      <c r="N50" s="238"/>
      <c r="O50" s="30"/>
    </row>
    <row r="51" spans="1:15" ht="15" outlineLevel="1">
      <c r="A51" s="218">
        <v>12</v>
      </c>
      <c r="B51" s="205" t="s">
        <v>33</v>
      </c>
      <c r="C51" s="205"/>
      <c r="D51" s="205"/>
      <c r="E51" s="205"/>
      <c r="F51" s="205"/>
      <c r="G51" s="205"/>
      <c r="H51" s="205"/>
      <c r="I51" s="205"/>
      <c r="J51" s="205"/>
      <c r="K51" s="205"/>
      <c r="L51" s="205"/>
      <c r="M51" s="205"/>
      <c r="N51" s="179" t="e">
        <f aca="true" t="shared" si="1" ref="N51">N25/N33*N36*N34</f>
        <v>#DIV/0!</v>
      </c>
      <c r="O51" s="30"/>
    </row>
    <row r="52" spans="1:15" ht="15" outlineLevel="1">
      <c r="A52" s="218"/>
      <c r="B52" s="205" t="s">
        <v>34</v>
      </c>
      <c r="C52" s="205"/>
      <c r="D52" s="205"/>
      <c r="E52" s="205"/>
      <c r="F52" s="205"/>
      <c r="G52" s="205"/>
      <c r="H52" s="205"/>
      <c r="I52" s="205"/>
      <c r="J52" s="205"/>
      <c r="K52" s="205"/>
      <c r="L52" s="205"/>
      <c r="M52" s="205"/>
      <c r="N52" s="178" t="e">
        <f aca="true" t="shared" si="2" ref="N52">N25/N33*N37*N35</f>
        <v>#DIV/0!</v>
      </c>
      <c r="O52" s="30"/>
    </row>
    <row r="53" spans="1:15" ht="15" outlineLevel="1">
      <c r="A53" s="218"/>
      <c r="B53" s="205" t="s">
        <v>35</v>
      </c>
      <c r="C53" s="205"/>
      <c r="D53" s="205"/>
      <c r="E53" s="205"/>
      <c r="F53" s="205"/>
      <c r="G53" s="205"/>
      <c r="H53" s="205"/>
      <c r="I53" s="205"/>
      <c r="J53" s="205"/>
      <c r="K53" s="205"/>
      <c r="L53" s="205"/>
      <c r="M53" s="205"/>
      <c r="N53" s="179">
        <f>N40*N41/N32</f>
        <v>0</v>
      </c>
      <c r="O53" s="30"/>
    </row>
    <row r="54" spans="1:15" ht="15" outlineLevel="1">
      <c r="A54" s="218"/>
      <c r="B54" s="205" t="s">
        <v>36</v>
      </c>
      <c r="C54" s="205"/>
      <c r="D54" s="205"/>
      <c r="E54" s="205"/>
      <c r="F54" s="205"/>
      <c r="G54" s="205"/>
      <c r="H54" s="205"/>
      <c r="I54" s="205"/>
      <c r="J54" s="205"/>
      <c r="K54" s="205"/>
      <c r="L54" s="205"/>
      <c r="M54" s="205"/>
      <c r="N54" s="180">
        <f>N39*N41/N32</f>
        <v>0.18094323142444863</v>
      </c>
      <c r="O54" s="30"/>
    </row>
    <row r="55" spans="1:15" ht="15" outlineLevel="1">
      <c r="A55" s="218"/>
      <c r="B55" s="205" t="s">
        <v>121</v>
      </c>
      <c r="C55" s="205"/>
      <c r="D55" s="205"/>
      <c r="E55" s="205"/>
      <c r="F55" s="205"/>
      <c r="G55" s="205"/>
      <c r="H55" s="205"/>
      <c r="I55" s="205"/>
      <c r="J55" s="205"/>
      <c r="K55" s="205"/>
      <c r="L55" s="205"/>
      <c r="M55" s="205"/>
      <c r="N55" s="180">
        <v>0.5</v>
      </c>
      <c r="O55" s="30"/>
    </row>
    <row r="56" spans="1:15" ht="15" outlineLevel="1">
      <c r="A56" s="218"/>
      <c r="B56" s="205" t="s">
        <v>38</v>
      </c>
      <c r="C56" s="205"/>
      <c r="D56" s="205"/>
      <c r="E56" s="205"/>
      <c r="F56" s="205"/>
      <c r="G56" s="205"/>
      <c r="H56" s="205"/>
      <c r="I56" s="205"/>
      <c r="J56" s="205"/>
      <c r="K56" s="205"/>
      <c r="L56" s="205"/>
      <c r="M56" s="205"/>
      <c r="N56" s="179">
        <f>IF(N41=1,0.85,IF(N41=3,0,IF(N41=2,0.85)))</f>
        <v>0</v>
      </c>
      <c r="O56" s="30"/>
    </row>
    <row r="57" spans="1:15" ht="14.4" customHeight="1" outlineLevel="1" thickBot="1">
      <c r="A57" s="234" t="s">
        <v>7</v>
      </c>
      <c r="B57" s="235"/>
      <c r="C57" s="235"/>
      <c r="D57" s="235"/>
      <c r="E57" s="235"/>
      <c r="F57" s="235"/>
      <c r="G57" s="235"/>
      <c r="H57" s="235"/>
      <c r="I57" s="235"/>
      <c r="J57" s="235"/>
      <c r="K57" s="235"/>
      <c r="L57" s="235"/>
      <c r="M57" s="235"/>
      <c r="N57" s="236"/>
      <c r="O57" s="30"/>
    </row>
    <row r="58" spans="1:15" ht="36.6" customHeight="1" outlineLevel="1" thickTop="1">
      <c r="A58" s="218">
        <v>13</v>
      </c>
      <c r="B58" s="61" t="s">
        <v>39</v>
      </c>
      <c r="C58" s="219" t="s">
        <v>119</v>
      </c>
      <c r="D58" s="219"/>
      <c r="E58" s="219"/>
      <c r="F58" s="219"/>
      <c r="G58" s="219"/>
      <c r="H58" s="219"/>
      <c r="I58" s="219"/>
      <c r="J58" s="219"/>
      <c r="K58" s="219"/>
      <c r="L58" s="219"/>
      <c r="M58" s="220"/>
      <c r="N58" s="194"/>
      <c r="O58" s="184" t="s">
        <v>88</v>
      </c>
    </row>
    <row r="59" spans="1:15" ht="47.4" customHeight="1" outlineLevel="1" thickBot="1">
      <c r="A59" s="218"/>
      <c r="B59" s="61" t="s">
        <v>40</v>
      </c>
      <c r="C59" s="221" t="s">
        <v>71</v>
      </c>
      <c r="D59" s="221"/>
      <c r="E59" s="221"/>
      <c r="F59" s="221"/>
      <c r="G59" s="221"/>
      <c r="H59" s="221"/>
      <c r="I59" s="221"/>
      <c r="J59" s="221"/>
      <c r="K59" s="221"/>
      <c r="L59" s="221"/>
      <c r="M59" s="222"/>
      <c r="N59" s="198"/>
      <c r="O59" s="184" t="s">
        <v>88</v>
      </c>
    </row>
    <row r="60" spans="1:15" ht="45.6" customHeight="1" outlineLevel="1" thickBot="1" thickTop="1">
      <c r="A60" s="218"/>
      <c r="B60" s="61" t="s">
        <v>41</v>
      </c>
      <c r="C60" s="219" t="s">
        <v>93</v>
      </c>
      <c r="D60" s="219"/>
      <c r="E60" s="219"/>
      <c r="F60" s="219"/>
      <c r="G60" s="219"/>
      <c r="H60" s="219"/>
      <c r="I60" s="219"/>
      <c r="J60" s="219"/>
      <c r="K60" s="219"/>
      <c r="L60" s="219"/>
      <c r="M60" s="219"/>
      <c r="N60" s="188" t="e">
        <f>(N27+N29+N51+N52+N53+N54+N55+N56+N58+N59)*N61</f>
        <v>#DIV/0!</v>
      </c>
      <c r="O60" s="30"/>
    </row>
    <row r="61" spans="1:15" ht="37.2" customHeight="1" outlineLevel="1" thickBot="1" thickTop="1">
      <c r="A61" s="218"/>
      <c r="B61" s="61" t="s">
        <v>42</v>
      </c>
      <c r="C61" s="219" t="s">
        <v>122</v>
      </c>
      <c r="D61" s="219"/>
      <c r="E61" s="219"/>
      <c r="F61" s="219"/>
      <c r="G61" s="219"/>
      <c r="H61" s="219"/>
      <c r="I61" s="219"/>
      <c r="J61" s="219"/>
      <c r="K61" s="219"/>
      <c r="L61" s="219"/>
      <c r="M61" s="220"/>
      <c r="N61" s="202"/>
      <c r="O61" s="184" t="s">
        <v>88</v>
      </c>
    </row>
    <row r="62" spans="1:15" ht="44.4" outlineLevel="1" thickBot="1" thickTop="1">
      <c r="A62" s="62" t="s">
        <v>43</v>
      </c>
      <c r="B62" s="63" t="s">
        <v>44</v>
      </c>
      <c r="C62" s="219" t="s">
        <v>45</v>
      </c>
      <c r="D62" s="219"/>
      <c r="E62" s="219"/>
      <c r="F62" s="219"/>
      <c r="G62" s="219"/>
      <c r="H62" s="219"/>
      <c r="I62" s="219"/>
      <c r="J62" s="219"/>
      <c r="K62" s="219"/>
      <c r="L62" s="219"/>
      <c r="M62" s="219"/>
      <c r="N62" s="190" t="e">
        <f>N27+N29+N51+N52+N53+N54+N55+N56+N58+N59+N60</f>
        <v>#DIV/0!</v>
      </c>
      <c r="O62" s="30"/>
    </row>
    <row r="63" spans="1:15" ht="30" outlineLevel="1" thickBot="1" thickTop="1">
      <c r="A63" s="234">
        <v>14</v>
      </c>
      <c r="B63" s="63" t="s">
        <v>46</v>
      </c>
      <c r="C63" s="219" t="s">
        <v>47</v>
      </c>
      <c r="D63" s="219"/>
      <c r="E63" s="219"/>
      <c r="F63" s="219"/>
      <c r="G63" s="219"/>
      <c r="H63" s="219"/>
      <c r="I63" s="219"/>
      <c r="J63" s="219"/>
      <c r="K63" s="219"/>
      <c r="L63" s="219"/>
      <c r="M63" s="220"/>
      <c r="N63" s="203">
        <v>11.49</v>
      </c>
      <c r="O63" s="184"/>
    </row>
    <row r="64" spans="1:15" ht="51.6" customHeight="1" outlineLevel="1" thickBot="1" thickTop="1">
      <c r="A64" s="234"/>
      <c r="B64" s="63" t="s">
        <v>48</v>
      </c>
      <c r="C64" s="219" t="s">
        <v>120</v>
      </c>
      <c r="D64" s="219"/>
      <c r="E64" s="219"/>
      <c r="F64" s="219"/>
      <c r="G64" s="219"/>
      <c r="H64" s="219"/>
      <c r="I64" s="219"/>
      <c r="J64" s="219"/>
      <c r="K64" s="219"/>
      <c r="L64" s="219"/>
      <c r="M64" s="219"/>
      <c r="N64" s="190">
        <f>50/N31</f>
        <v>2.0833333333333335</v>
      </c>
      <c r="O64" s="30"/>
    </row>
    <row r="65" spans="1:15" ht="43.2" customHeight="1" outlineLevel="1" thickBot="1" thickTop="1">
      <c r="A65" s="234"/>
      <c r="B65" s="63" t="s">
        <v>49</v>
      </c>
      <c r="C65" s="219" t="s">
        <v>50</v>
      </c>
      <c r="D65" s="219"/>
      <c r="E65" s="219"/>
      <c r="F65" s="219"/>
      <c r="G65" s="219"/>
      <c r="H65" s="219"/>
      <c r="I65" s="219"/>
      <c r="J65" s="219"/>
      <c r="K65" s="219"/>
      <c r="L65" s="219"/>
      <c r="M65" s="220"/>
      <c r="N65" s="204"/>
      <c r="O65" s="184" t="s">
        <v>88</v>
      </c>
    </row>
    <row r="66" spans="1:15" ht="60.6" customHeight="1" outlineLevel="1" thickBot="1" thickTop="1">
      <c r="A66" s="64" t="s">
        <v>51</v>
      </c>
      <c r="B66" s="65" t="s">
        <v>52</v>
      </c>
      <c r="C66" s="231" t="s">
        <v>53</v>
      </c>
      <c r="D66" s="231"/>
      <c r="E66" s="231"/>
      <c r="F66" s="231"/>
      <c r="G66" s="231"/>
      <c r="H66" s="231"/>
      <c r="I66" s="231"/>
      <c r="J66" s="231"/>
      <c r="K66" s="231"/>
      <c r="L66" s="231"/>
      <c r="M66" s="231"/>
      <c r="N66" s="126" t="str">
        <f>IF(OR(N33=0,N36=0,N37=0,N40=0,N58=0,N59=0,N61=0,N65=0,),"Neužpildyti visi laukai N stulpelyje",N63+N64+N65-N62)</f>
        <v>Neužpildyti visi laukai N stulpelyje</v>
      </c>
      <c r="O66" s="31"/>
    </row>
    <row r="67" ht="15" thickTop="1"/>
    <row r="68" spans="1:6" ht="15">
      <c r="A68" s="242" t="s">
        <v>96</v>
      </c>
      <c r="B68" s="242"/>
      <c r="C68" s="242"/>
      <c r="D68" s="242"/>
      <c r="E68" s="242"/>
      <c r="F68" s="242"/>
    </row>
    <row r="69" spans="1:6" ht="15">
      <c r="A69" s="33"/>
      <c r="B69" s="34"/>
      <c r="C69" s="34"/>
      <c r="D69" s="34"/>
      <c r="E69" s="34"/>
      <c r="F69" s="34"/>
    </row>
    <row r="70" spans="1:6" ht="15">
      <c r="A70" s="35"/>
      <c r="B70" s="36" t="s">
        <v>97</v>
      </c>
      <c r="C70" s="36" t="s">
        <v>98</v>
      </c>
      <c r="D70" s="36" t="s">
        <v>99</v>
      </c>
      <c r="E70" s="36" t="s">
        <v>100</v>
      </c>
      <c r="F70" s="36" t="s">
        <v>101</v>
      </c>
    </row>
    <row r="71" spans="1:6" ht="15">
      <c r="A71" s="37">
        <v>2021</v>
      </c>
      <c r="B71" s="38">
        <v>14845</v>
      </c>
      <c r="C71" s="37"/>
      <c r="D71" s="37"/>
      <c r="E71" s="37"/>
      <c r="F71" s="39"/>
    </row>
    <row r="72" spans="1:6" ht="15">
      <c r="A72" s="37">
        <v>2022</v>
      </c>
      <c r="B72" s="38">
        <v>17042</v>
      </c>
      <c r="C72" s="38">
        <v>20</v>
      </c>
      <c r="D72" s="181">
        <f>B72/C72</f>
        <v>852.1</v>
      </c>
      <c r="E72" s="182">
        <f>(B72-B71)/B71</f>
        <v>0.14799595823509598</v>
      </c>
      <c r="F72" s="183">
        <f aca="true" t="shared" si="3" ref="F72">D72+D72*E72</f>
        <v>978.2073560121253</v>
      </c>
    </row>
    <row r="73" spans="1:6" ht="15">
      <c r="A73" s="247" t="s">
        <v>102</v>
      </c>
      <c r="B73" s="247"/>
      <c r="C73" s="247"/>
      <c r="D73" s="247"/>
      <c r="E73" s="247"/>
      <c r="F73" s="247"/>
    </row>
  </sheetData>
  <mergeCells count="70">
    <mergeCell ref="A44:A49"/>
    <mergeCell ref="B46:N46"/>
    <mergeCell ref="A73:F73"/>
    <mergeCell ref="B5:G5"/>
    <mergeCell ref="B6:G6"/>
    <mergeCell ref="B7:G7"/>
    <mergeCell ref="B8:G8"/>
    <mergeCell ref="B9:G9"/>
    <mergeCell ref="B10:G10"/>
    <mergeCell ref="B55:M55"/>
    <mergeCell ref="A57:N57"/>
    <mergeCell ref="A50:N50"/>
    <mergeCell ref="A23:O23"/>
    <mergeCell ref="B56:M56"/>
    <mergeCell ref="C28:M28"/>
    <mergeCell ref="C29:M29"/>
    <mergeCell ref="C31:M31"/>
    <mergeCell ref="C35:M35"/>
    <mergeCell ref="O24:O26"/>
    <mergeCell ref="A68:F68"/>
    <mergeCell ref="C63:M63"/>
    <mergeCell ref="C64:M64"/>
    <mergeCell ref="C36:M37"/>
    <mergeCell ref="B24:B25"/>
    <mergeCell ref="A24:A25"/>
    <mergeCell ref="A51:A56"/>
    <mergeCell ref="A58:A61"/>
    <mergeCell ref="C38:M38"/>
    <mergeCell ref="C39:M39"/>
    <mergeCell ref="C40:M40"/>
    <mergeCell ref="C41:M41"/>
    <mergeCell ref="C58:M58"/>
    <mergeCell ref="B47:N47"/>
    <mergeCell ref="C65:M65"/>
    <mergeCell ref="C66:M66"/>
    <mergeCell ref="C24:M25"/>
    <mergeCell ref="A26:N26"/>
    <mergeCell ref="C42:M42"/>
    <mergeCell ref="B44:N44"/>
    <mergeCell ref="A43:N43"/>
    <mergeCell ref="B45:N45"/>
    <mergeCell ref="B49:N49"/>
    <mergeCell ref="B48:N48"/>
    <mergeCell ref="C59:M59"/>
    <mergeCell ref="C60:M60"/>
    <mergeCell ref="C61:M61"/>
    <mergeCell ref="C62:M62"/>
    <mergeCell ref="A63:A65"/>
    <mergeCell ref="C27:M27"/>
    <mergeCell ref="A1:O2"/>
    <mergeCell ref="A4:O4"/>
    <mergeCell ref="A12:O12"/>
    <mergeCell ref="B14:O14"/>
    <mergeCell ref="B13:O13"/>
    <mergeCell ref="B54:M54"/>
    <mergeCell ref="B53:M53"/>
    <mergeCell ref="B52:M52"/>
    <mergeCell ref="B51:M51"/>
    <mergeCell ref="A3:XFD3"/>
    <mergeCell ref="A30:M30"/>
    <mergeCell ref="B15:O15"/>
    <mergeCell ref="B16:O16"/>
    <mergeCell ref="A18:O18"/>
    <mergeCell ref="A19:O19"/>
    <mergeCell ref="A27:A29"/>
    <mergeCell ref="A36:A37"/>
    <mergeCell ref="B36:B37"/>
    <mergeCell ref="C32:M32"/>
    <mergeCell ref="C33:M33"/>
    <mergeCell ref="C34:M34"/>
  </mergeCells>
  <dataValidations count="1">
    <dataValidation type="list" allowBlank="1" showInputMessage="1" showErrorMessage="1" sqref="N56">
      <formula1>#REF!</formula1>
    </dataValidation>
  </dataValidations>
  <hyperlinks>
    <hyperlink ref="N32" location="Įvadas!F72" display="Įvadas!F72"/>
    <hyperlink ref="B20" location="'KST '!A1" display="Įvesties duomenys (atrakinti laukai ir juos galima koreguoti)"/>
    <hyperlink ref="B14:O14" r:id="rId1" display="RRT direktoriaus 2019 m. liepos 19 d. įsakymas Nr. 1V-766 „Dėl ūkio subjekto Telia Lietuva, AB, turinčio didelę įtaką Didmeninės centrinės prieigos fiksuotoje vietoje masinės rinkos produktams rinkoje“ "/>
    <hyperlink ref="B15:O15" r:id="rId2" display="RRT direktoriaus 2005 m. gruodžio 28 d. įsakymas Nr. 1V-1164 „Dėl Sąnaudų apskaitos pagal visiškai paskirstytų sąnaudų metodą taisyklių patvirtinimo“"/>
    <hyperlink ref="B16:O16" r:id="rId3" display=" Apskaitos atskyrimo taisyklių ir su apskaitos atskyrimu susijusių reikalavimų, patvirtintų Tarnybos direktoriaus 2006 m. birželio 14 d. įsakymo Nr. lV-738 „Dėl Apskaitos atskyrimo taisyklių ir su apskaitos atskyrimu susijusių reikalavimų patvirtinimo“"/>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E4D89-B181-405B-9EB3-959926C96420}">
  <dimension ref="B2:R46"/>
  <sheetViews>
    <sheetView zoomScale="85" zoomScaleNormal="85" workbookViewId="0" topLeftCell="B38">
      <selection activeCell="B30" sqref="B30:R30"/>
    </sheetView>
  </sheetViews>
  <sheetFormatPr defaultColWidth="9.140625" defaultRowHeight="15"/>
  <cols>
    <col min="1" max="1" width="2.28125" style="0" customWidth="1"/>
    <col min="3" max="3" width="54.421875" style="0" customWidth="1"/>
    <col min="4" max="4" width="14.7109375" style="0" customWidth="1"/>
    <col min="5" max="18" width="13.28125" style="0" bestFit="1" customWidth="1"/>
  </cols>
  <sheetData>
    <row r="2" spans="2:18" ht="15">
      <c r="B2" s="156"/>
      <c r="C2" s="157"/>
      <c r="D2" s="254" t="s">
        <v>9</v>
      </c>
      <c r="E2" s="255"/>
      <c r="F2" s="255"/>
      <c r="G2" s="255"/>
      <c r="H2" s="256"/>
      <c r="I2" s="260" t="s">
        <v>10</v>
      </c>
      <c r="J2" s="260"/>
      <c r="K2" s="260"/>
      <c r="L2" s="260"/>
      <c r="M2" s="260"/>
      <c r="N2" s="260"/>
      <c r="O2" s="260"/>
      <c r="P2" s="260"/>
      <c r="Q2" s="260"/>
      <c r="R2" s="260"/>
    </row>
    <row r="3" spans="2:18" ht="15">
      <c r="B3" s="261" t="s">
        <v>0</v>
      </c>
      <c r="C3" s="159" t="s">
        <v>8</v>
      </c>
      <c r="D3" s="257"/>
      <c r="E3" s="258"/>
      <c r="F3" s="258"/>
      <c r="G3" s="258"/>
      <c r="H3" s="259"/>
      <c r="I3" s="260" t="s">
        <v>110</v>
      </c>
      <c r="J3" s="260"/>
      <c r="K3" s="260"/>
      <c r="L3" s="260"/>
      <c r="M3" s="260"/>
      <c r="N3" s="260" t="s">
        <v>111</v>
      </c>
      <c r="O3" s="260"/>
      <c r="P3" s="260"/>
      <c r="Q3" s="260"/>
      <c r="R3" s="260"/>
    </row>
    <row r="4" spans="2:18" ht="15">
      <c r="B4" s="261"/>
      <c r="C4" s="261" t="s">
        <v>11</v>
      </c>
      <c r="D4" s="262" t="s">
        <v>12</v>
      </c>
      <c r="E4" s="263"/>
      <c r="F4" s="263"/>
      <c r="G4" s="263"/>
      <c r="H4" s="264"/>
      <c r="I4" s="261" t="s">
        <v>12</v>
      </c>
      <c r="J4" s="261"/>
      <c r="K4" s="261"/>
      <c r="L4" s="261"/>
      <c r="M4" s="261"/>
      <c r="N4" s="261" t="s">
        <v>12</v>
      </c>
      <c r="O4" s="261"/>
      <c r="P4" s="261"/>
      <c r="Q4" s="261"/>
      <c r="R4" s="261"/>
    </row>
    <row r="5" spans="2:18" ht="15">
      <c r="B5" s="261"/>
      <c r="C5" s="261"/>
      <c r="D5" s="160">
        <v>100</v>
      </c>
      <c r="E5" s="160">
        <v>250</v>
      </c>
      <c r="F5" s="160">
        <v>500</v>
      </c>
      <c r="G5" s="160">
        <v>1000</v>
      </c>
      <c r="H5" s="160">
        <v>2000</v>
      </c>
      <c r="I5" s="158">
        <v>100</v>
      </c>
      <c r="J5" s="158">
        <v>250</v>
      </c>
      <c r="K5" s="160">
        <v>500</v>
      </c>
      <c r="L5" s="160">
        <v>1000</v>
      </c>
      <c r="M5" s="160">
        <v>2000</v>
      </c>
      <c r="N5" s="160">
        <v>100</v>
      </c>
      <c r="O5" s="160">
        <v>250</v>
      </c>
      <c r="P5" s="160">
        <v>500</v>
      </c>
      <c r="Q5" s="160">
        <v>1000</v>
      </c>
      <c r="R5" s="160">
        <v>2000</v>
      </c>
    </row>
    <row r="6" spans="2:18" ht="15">
      <c r="B6" s="253" t="s">
        <v>1</v>
      </c>
      <c r="C6" s="253"/>
      <c r="D6" s="253"/>
      <c r="E6" s="253"/>
      <c r="F6" s="253"/>
      <c r="G6" s="253"/>
      <c r="H6" s="253"/>
      <c r="I6" s="253"/>
      <c r="J6" s="253"/>
      <c r="K6" s="253"/>
      <c r="L6" s="253"/>
      <c r="M6" s="253"/>
      <c r="N6" s="253"/>
      <c r="O6" s="253"/>
      <c r="P6" s="253"/>
      <c r="Q6" s="253"/>
      <c r="R6" s="253"/>
    </row>
    <row r="7" spans="2:18" ht="15">
      <c r="B7" s="265">
        <v>1</v>
      </c>
      <c r="C7" s="160" t="s">
        <v>13</v>
      </c>
      <c r="D7" s="162">
        <v>7.9</v>
      </c>
      <c r="E7" s="162">
        <v>9.77</v>
      </c>
      <c r="F7" s="162">
        <v>11.93</v>
      </c>
      <c r="G7" s="162">
        <v>15.05</v>
      </c>
      <c r="H7" s="163">
        <v>20.96</v>
      </c>
      <c r="I7" s="163">
        <v>6.4</v>
      </c>
      <c r="J7" s="163">
        <v>8.3</v>
      </c>
      <c r="K7" s="162">
        <v>10.5</v>
      </c>
      <c r="L7" s="162">
        <v>14</v>
      </c>
      <c r="M7" s="163">
        <v>18.03</v>
      </c>
      <c r="N7" s="162">
        <v>5.53</v>
      </c>
      <c r="O7" s="162">
        <v>6.74</v>
      </c>
      <c r="P7" s="162">
        <v>8.23</v>
      </c>
      <c r="Q7" s="162">
        <v>9.48</v>
      </c>
      <c r="R7" s="163">
        <v>15.93</v>
      </c>
    </row>
    <row r="8" spans="2:18" ht="15">
      <c r="B8" s="265"/>
      <c r="C8" s="160" t="s">
        <v>14</v>
      </c>
      <c r="D8" s="164">
        <f>50+6.5</f>
        <v>56.5</v>
      </c>
      <c r="E8" s="164">
        <f aca="true" t="shared" si="0" ref="E8:H8">50+6.5</f>
        <v>56.5</v>
      </c>
      <c r="F8" s="164">
        <f t="shared" si="0"/>
        <v>56.5</v>
      </c>
      <c r="G8" s="164">
        <f t="shared" si="0"/>
        <v>56.5</v>
      </c>
      <c r="H8" s="164">
        <f t="shared" si="0"/>
        <v>56.5</v>
      </c>
      <c r="I8" s="164">
        <f>20+6.5</f>
        <v>26.5</v>
      </c>
      <c r="J8" s="164">
        <f aca="true" t="shared" si="1" ref="J8:M8">20+6.5</f>
        <v>26.5</v>
      </c>
      <c r="K8" s="164">
        <f t="shared" si="1"/>
        <v>26.5</v>
      </c>
      <c r="L8" s="164">
        <f t="shared" si="1"/>
        <v>26.5</v>
      </c>
      <c r="M8" s="164">
        <f t="shared" si="1"/>
        <v>26.5</v>
      </c>
      <c r="N8" s="164">
        <v>0</v>
      </c>
      <c r="O8" s="164">
        <v>0</v>
      </c>
      <c r="P8" s="164">
        <v>0</v>
      </c>
      <c r="Q8" s="164">
        <v>0</v>
      </c>
      <c r="R8" s="164">
        <v>0</v>
      </c>
    </row>
    <row r="9" spans="2:18" ht="27.6">
      <c r="B9" s="265"/>
      <c r="C9" s="160" t="s">
        <v>15</v>
      </c>
      <c r="D9" s="165">
        <f>D8/24</f>
        <v>2.3541666666666665</v>
      </c>
      <c r="E9" s="165">
        <f aca="true" t="shared" si="2" ref="E9:R9">E8/24</f>
        <v>2.3541666666666665</v>
      </c>
      <c r="F9" s="165">
        <f t="shared" si="2"/>
        <v>2.3541666666666665</v>
      </c>
      <c r="G9" s="165">
        <f t="shared" si="2"/>
        <v>2.3541666666666665</v>
      </c>
      <c r="H9" s="165">
        <f t="shared" si="2"/>
        <v>2.3541666666666665</v>
      </c>
      <c r="I9" s="165">
        <f t="shared" si="2"/>
        <v>1.1041666666666667</v>
      </c>
      <c r="J9" s="165">
        <f t="shared" si="2"/>
        <v>1.1041666666666667</v>
      </c>
      <c r="K9" s="165">
        <f t="shared" si="2"/>
        <v>1.1041666666666667</v>
      </c>
      <c r="L9" s="165">
        <f t="shared" si="2"/>
        <v>1.1041666666666667</v>
      </c>
      <c r="M9" s="165">
        <f t="shared" si="2"/>
        <v>1.1041666666666667</v>
      </c>
      <c r="N9" s="165">
        <f t="shared" si="2"/>
        <v>0</v>
      </c>
      <c r="O9" s="165">
        <f t="shared" si="2"/>
        <v>0</v>
      </c>
      <c r="P9" s="165">
        <f t="shared" si="2"/>
        <v>0</v>
      </c>
      <c r="Q9" s="165">
        <f t="shared" si="2"/>
        <v>0</v>
      </c>
      <c r="R9" s="165">
        <f t="shared" si="2"/>
        <v>0</v>
      </c>
    </row>
    <row r="10" spans="2:18" ht="15">
      <c r="B10" s="266" t="s">
        <v>2</v>
      </c>
      <c r="C10" s="267"/>
      <c r="D10" s="267"/>
      <c r="E10" s="267"/>
      <c r="F10" s="267"/>
      <c r="G10" s="267"/>
      <c r="H10" s="267"/>
      <c r="I10" s="267"/>
      <c r="J10" s="267"/>
      <c r="K10" s="267"/>
      <c r="L10" s="267"/>
      <c r="M10" s="267"/>
      <c r="N10" s="267"/>
      <c r="O10" s="267"/>
      <c r="P10" s="267"/>
      <c r="Q10" s="267"/>
      <c r="R10" s="268"/>
    </row>
    <row r="11" spans="2:18" ht="15">
      <c r="B11" s="160">
        <v>2</v>
      </c>
      <c r="C11" s="160" t="s">
        <v>3</v>
      </c>
      <c r="D11" s="160">
        <v>24</v>
      </c>
      <c r="E11" s="160">
        <v>24</v>
      </c>
      <c r="F11" s="160">
        <v>24</v>
      </c>
      <c r="G11" s="160">
        <v>24</v>
      </c>
      <c r="H11" s="160">
        <v>24</v>
      </c>
      <c r="I11" s="158">
        <v>24</v>
      </c>
      <c r="J11" s="158">
        <v>24</v>
      </c>
      <c r="K11" s="160">
        <v>24</v>
      </c>
      <c r="L11" s="160">
        <v>24</v>
      </c>
      <c r="M11" s="160">
        <v>24</v>
      </c>
      <c r="N11" s="160">
        <v>24</v>
      </c>
      <c r="O11" s="160">
        <v>24</v>
      </c>
      <c r="P11" s="160">
        <v>24</v>
      </c>
      <c r="Q11" s="160">
        <v>24</v>
      </c>
      <c r="R11" s="160">
        <v>24</v>
      </c>
    </row>
    <row r="12" spans="2:18" ht="27.6">
      <c r="B12" s="160">
        <v>3</v>
      </c>
      <c r="C12" s="158" t="s">
        <v>4</v>
      </c>
      <c r="D12" s="158">
        <v>1001</v>
      </c>
      <c r="E12" s="158">
        <v>1022</v>
      </c>
      <c r="F12" s="158">
        <v>1022</v>
      </c>
      <c r="G12" s="158">
        <v>1022</v>
      </c>
      <c r="H12" s="158">
        <v>1022</v>
      </c>
      <c r="I12" s="158">
        <v>1022</v>
      </c>
      <c r="J12" s="158">
        <v>1022</v>
      </c>
      <c r="K12" s="158">
        <v>1022</v>
      </c>
      <c r="L12" s="158">
        <v>1022</v>
      </c>
      <c r="M12" s="158">
        <v>1022</v>
      </c>
      <c r="N12" s="158">
        <v>1022</v>
      </c>
      <c r="O12" s="158">
        <v>1022</v>
      </c>
      <c r="P12" s="158">
        <v>1022</v>
      </c>
      <c r="Q12" s="158">
        <v>1022</v>
      </c>
      <c r="R12" s="158">
        <v>1022</v>
      </c>
    </row>
    <row r="13" spans="2:18" ht="27.6">
      <c r="B13" s="160">
        <v>4</v>
      </c>
      <c r="C13" s="158" t="s">
        <v>16</v>
      </c>
      <c r="D13" s="158" t="s">
        <v>88</v>
      </c>
      <c r="E13" s="158" t="s">
        <v>88</v>
      </c>
      <c r="F13" s="158" t="s">
        <v>88</v>
      </c>
      <c r="G13" s="158" t="s">
        <v>88</v>
      </c>
      <c r="H13" s="158" t="s">
        <v>88</v>
      </c>
      <c r="I13" s="158" t="s">
        <v>88</v>
      </c>
      <c r="J13" s="158" t="s">
        <v>88</v>
      </c>
      <c r="K13" s="158" t="s">
        <v>88</v>
      </c>
      <c r="L13" s="158" t="s">
        <v>88</v>
      </c>
      <c r="M13" s="158" t="s">
        <v>88</v>
      </c>
      <c r="N13" s="158" t="s">
        <v>88</v>
      </c>
      <c r="O13" s="158" t="s">
        <v>88</v>
      </c>
      <c r="P13" s="158" t="s">
        <v>88</v>
      </c>
      <c r="Q13" s="158" t="s">
        <v>88</v>
      </c>
      <c r="R13" s="158" t="s">
        <v>88</v>
      </c>
    </row>
    <row r="14" spans="2:18" ht="15">
      <c r="B14" s="160">
        <v>5</v>
      </c>
      <c r="C14" s="158" t="s">
        <v>18</v>
      </c>
      <c r="D14" s="160">
        <v>0.154</v>
      </c>
      <c r="E14" s="160">
        <v>0.154</v>
      </c>
      <c r="F14" s="160">
        <v>0.154</v>
      </c>
      <c r="G14" s="160">
        <v>0.154</v>
      </c>
      <c r="H14" s="160">
        <v>0.154</v>
      </c>
      <c r="I14" s="158">
        <v>0.154</v>
      </c>
      <c r="J14" s="158">
        <v>0.154</v>
      </c>
      <c r="K14" s="160">
        <v>0.154</v>
      </c>
      <c r="L14" s="160">
        <v>0.154</v>
      </c>
      <c r="M14" s="160">
        <v>0.154</v>
      </c>
      <c r="N14" s="160">
        <v>0.154</v>
      </c>
      <c r="O14" s="160">
        <v>0.154</v>
      </c>
      <c r="P14" s="160">
        <v>0.154</v>
      </c>
      <c r="Q14" s="160">
        <v>0.154</v>
      </c>
      <c r="R14" s="160">
        <v>0.154</v>
      </c>
    </row>
    <row r="15" spans="2:18" ht="15">
      <c r="B15" s="160">
        <v>6</v>
      </c>
      <c r="C15" s="158" t="s">
        <v>19</v>
      </c>
      <c r="D15" s="166">
        <v>0.129</v>
      </c>
      <c r="E15" s="166">
        <v>0.129</v>
      </c>
      <c r="F15" s="166">
        <v>0.129</v>
      </c>
      <c r="G15" s="166">
        <v>0.129</v>
      </c>
      <c r="H15" s="166">
        <v>0.129</v>
      </c>
      <c r="I15" s="167">
        <v>0.129</v>
      </c>
      <c r="J15" s="167">
        <v>0.129</v>
      </c>
      <c r="K15" s="166">
        <v>0.129</v>
      </c>
      <c r="L15" s="166">
        <v>0.129</v>
      </c>
      <c r="M15" s="166">
        <v>0.129</v>
      </c>
      <c r="N15" s="166">
        <v>0.129</v>
      </c>
      <c r="O15" s="166">
        <v>0.129</v>
      </c>
      <c r="P15" s="166">
        <v>0.129</v>
      </c>
      <c r="Q15" s="166">
        <v>0.129</v>
      </c>
      <c r="R15" s="166">
        <v>0.129</v>
      </c>
    </row>
    <row r="16" spans="2:18" ht="15">
      <c r="B16" s="265">
        <v>7</v>
      </c>
      <c r="C16" s="261" t="s">
        <v>20</v>
      </c>
      <c r="D16" s="168" t="s">
        <v>88</v>
      </c>
      <c r="E16" s="168" t="s">
        <v>88</v>
      </c>
      <c r="F16" s="168" t="s">
        <v>88</v>
      </c>
      <c r="G16" s="168" t="s">
        <v>88</v>
      </c>
      <c r="H16" s="168" t="s">
        <v>88</v>
      </c>
      <c r="I16" s="168" t="s">
        <v>88</v>
      </c>
      <c r="J16" s="168" t="s">
        <v>88</v>
      </c>
      <c r="K16" s="168" t="s">
        <v>88</v>
      </c>
      <c r="L16" s="168" t="s">
        <v>88</v>
      </c>
      <c r="M16" s="168" t="s">
        <v>88</v>
      </c>
      <c r="N16" s="168" t="s">
        <v>88</v>
      </c>
      <c r="O16" s="168" t="s">
        <v>88</v>
      </c>
      <c r="P16" s="168" t="s">
        <v>88</v>
      </c>
      <c r="Q16" s="168" t="s">
        <v>88</v>
      </c>
      <c r="R16" s="168" t="s">
        <v>88</v>
      </c>
    </row>
    <row r="17" spans="2:18" ht="15">
      <c r="B17" s="265"/>
      <c r="C17" s="261"/>
      <c r="D17" s="168" t="s">
        <v>88</v>
      </c>
      <c r="E17" s="168" t="s">
        <v>88</v>
      </c>
      <c r="F17" s="168" t="s">
        <v>88</v>
      </c>
      <c r="G17" s="168" t="s">
        <v>88</v>
      </c>
      <c r="H17" s="168" t="s">
        <v>88</v>
      </c>
      <c r="I17" s="168" t="s">
        <v>88</v>
      </c>
      <c r="J17" s="168" t="s">
        <v>88</v>
      </c>
      <c r="K17" s="168" t="s">
        <v>88</v>
      </c>
      <c r="L17" s="168" t="s">
        <v>88</v>
      </c>
      <c r="M17" s="168" t="s">
        <v>88</v>
      </c>
      <c r="N17" s="168" t="s">
        <v>88</v>
      </c>
      <c r="O17" s="168" t="s">
        <v>88</v>
      </c>
      <c r="P17" s="168" t="s">
        <v>88</v>
      </c>
      <c r="Q17" s="168" t="s">
        <v>88</v>
      </c>
      <c r="R17" s="168" t="s">
        <v>88</v>
      </c>
    </row>
    <row r="18" spans="2:18" ht="15">
      <c r="B18" s="160"/>
      <c r="C18" s="158" t="s">
        <v>21</v>
      </c>
      <c r="D18" s="168" t="e">
        <f>D12*D5/D13/1000</f>
        <v>#VALUE!</v>
      </c>
      <c r="E18" s="168" t="e">
        <f aca="true" t="shared" si="3" ref="E18:R18">E12*E5/E13/1000</f>
        <v>#VALUE!</v>
      </c>
      <c r="F18" s="168" t="e">
        <f t="shared" si="3"/>
        <v>#VALUE!</v>
      </c>
      <c r="G18" s="168" t="e">
        <f t="shared" si="3"/>
        <v>#VALUE!</v>
      </c>
      <c r="H18" s="168" t="e">
        <f t="shared" si="3"/>
        <v>#VALUE!</v>
      </c>
      <c r="I18" s="168" t="e">
        <f t="shared" si="3"/>
        <v>#VALUE!</v>
      </c>
      <c r="J18" s="168" t="e">
        <f t="shared" si="3"/>
        <v>#VALUE!</v>
      </c>
      <c r="K18" s="168" t="e">
        <f t="shared" si="3"/>
        <v>#VALUE!</v>
      </c>
      <c r="L18" s="168" t="e">
        <f t="shared" si="3"/>
        <v>#VALUE!</v>
      </c>
      <c r="M18" s="168" t="e">
        <f t="shared" si="3"/>
        <v>#VALUE!</v>
      </c>
      <c r="N18" s="168" t="e">
        <f t="shared" si="3"/>
        <v>#VALUE!</v>
      </c>
      <c r="O18" s="168" t="e">
        <f t="shared" si="3"/>
        <v>#VALUE!</v>
      </c>
      <c r="P18" s="168" t="e">
        <f t="shared" si="3"/>
        <v>#VALUE!</v>
      </c>
      <c r="Q18" s="168" t="e">
        <f t="shared" si="3"/>
        <v>#VALUE!</v>
      </c>
      <c r="R18" s="168" t="e">
        <f t="shared" si="3"/>
        <v>#VALUE!</v>
      </c>
    </row>
    <row r="19" spans="2:18" ht="15">
      <c r="B19" s="160"/>
      <c r="C19" s="158" t="s">
        <v>23</v>
      </c>
      <c r="D19" s="169">
        <v>59</v>
      </c>
      <c r="E19" s="169">
        <v>59</v>
      </c>
      <c r="F19" s="169">
        <v>77</v>
      </c>
      <c r="G19" s="169">
        <v>77</v>
      </c>
      <c r="H19" s="169">
        <v>130</v>
      </c>
      <c r="I19" s="169">
        <v>59</v>
      </c>
      <c r="J19" s="169">
        <v>59</v>
      </c>
      <c r="K19" s="169">
        <v>77</v>
      </c>
      <c r="L19" s="169">
        <v>77</v>
      </c>
      <c r="M19" s="169">
        <v>130</v>
      </c>
      <c r="N19" s="169">
        <v>59</v>
      </c>
      <c r="O19" s="169">
        <v>59</v>
      </c>
      <c r="P19" s="169">
        <v>94</v>
      </c>
      <c r="Q19" s="169">
        <v>77</v>
      </c>
      <c r="R19" s="169">
        <v>130</v>
      </c>
    </row>
    <row r="20" spans="2:18" ht="27.6">
      <c r="B20" s="160">
        <v>8</v>
      </c>
      <c r="C20" s="158" t="s">
        <v>24</v>
      </c>
      <c r="D20" s="158" t="s">
        <v>88</v>
      </c>
      <c r="E20" s="158" t="s">
        <v>88</v>
      </c>
      <c r="F20" s="158" t="s">
        <v>88</v>
      </c>
      <c r="G20" s="158" t="s">
        <v>88</v>
      </c>
      <c r="H20" s="158" t="s">
        <v>88</v>
      </c>
      <c r="I20" s="158" t="s">
        <v>88</v>
      </c>
      <c r="J20" s="158" t="s">
        <v>88</v>
      </c>
      <c r="K20" s="158" t="s">
        <v>88</v>
      </c>
      <c r="L20" s="158" t="s">
        <v>88</v>
      </c>
      <c r="M20" s="158" t="s">
        <v>88</v>
      </c>
      <c r="N20" s="158" t="s">
        <v>88</v>
      </c>
      <c r="O20" s="158" t="s">
        <v>88</v>
      </c>
      <c r="P20" s="158" t="s">
        <v>88</v>
      </c>
      <c r="Q20" s="158" t="s">
        <v>88</v>
      </c>
      <c r="R20" s="158" t="s">
        <v>88</v>
      </c>
    </row>
    <row r="21" spans="2:18" ht="15">
      <c r="B21" s="160">
        <v>9</v>
      </c>
      <c r="C21" s="160" t="s">
        <v>25</v>
      </c>
      <c r="D21" s="160">
        <v>3</v>
      </c>
      <c r="E21" s="160">
        <v>3</v>
      </c>
      <c r="F21" s="160">
        <v>3</v>
      </c>
      <c r="G21" s="160">
        <v>3</v>
      </c>
      <c r="H21" s="160">
        <v>3</v>
      </c>
      <c r="I21" s="158">
        <v>3</v>
      </c>
      <c r="J21" s="158">
        <v>3</v>
      </c>
      <c r="K21" s="160">
        <v>3</v>
      </c>
      <c r="L21" s="160">
        <v>3</v>
      </c>
      <c r="M21" s="160">
        <v>3</v>
      </c>
      <c r="N21" s="160">
        <v>3</v>
      </c>
      <c r="O21" s="160">
        <v>3</v>
      </c>
      <c r="P21" s="160">
        <v>3</v>
      </c>
      <c r="Q21" s="160">
        <v>3</v>
      </c>
      <c r="R21" s="160">
        <v>3</v>
      </c>
    </row>
    <row r="22" spans="2:18" ht="27.6">
      <c r="B22" s="160">
        <v>10</v>
      </c>
      <c r="C22" s="160" t="s">
        <v>26</v>
      </c>
      <c r="D22" s="160"/>
      <c r="E22" s="160"/>
      <c r="F22" s="160"/>
      <c r="G22" s="160"/>
      <c r="H22" s="160"/>
      <c r="I22" s="158"/>
      <c r="J22" s="158"/>
      <c r="K22" s="160"/>
      <c r="L22" s="160"/>
      <c r="M22" s="160"/>
      <c r="N22" s="160"/>
      <c r="O22" s="160"/>
      <c r="P22" s="160"/>
      <c r="Q22" s="160"/>
      <c r="R22" s="160"/>
    </row>
    <row r="23" spans="2:18" ht="15">
      <c r="B23" s="253" t="s">
        <v>5</v>
      </c>
      <c r="C23" s="253"/>
      <c r="D23" s="253"/>
      <c r="E23" s="253"/>
      <c r="F23" s="253"/>
      <c r="G23" s="253"/>
      <c r="H23" s="253"/>
      <c r="I23" s="253"/>
      <c r="J23" s="253"/>
      <c r="K23" s="253"/>
      <c r="L23" s="253"/>
      <c r="M23" s="253"/>
      <c r="N23" s="253"/>
      <c r="O23" s="253"/>
      <c r="P23" s="253"/>
      <c r="Q23" s="253"/>
      <c r="R23" s="253"/>
    </row>
    <row r="24" spans="2:18" ht="15">
      <c r="B24" s="261">
        <v>11</v>
      </c>
      <c r="C24" s="269" t="s">
        <v>27</v>
      </c>
      <c r="D24" s="269"/>
      <c r="E24" s="269"/>
      <c r="F24" s="269"/>
      <c r="G24" s="269"/>
      <c r="H24" s="269"/>
      <c r="I24" s="269"/>
      <c r="J24" s="269"/>
      <c r="K24" s="269"/>
      <c r="L24" s="269"/>
      <c r="M24" s="269"/>
      <c r="N24" s="269"/>
      <c r="O24" s="269"/>
      <c r="P24" s="269"/>
      <c r="Q24" s="269"/>
      <c r="R24" s="269"/>
    </row>
    <row r="25" spans="2:18" ht="15">
      <c r="B25" s="261"/>
      <c r="C25" s="269" t="s">
        <v>28</v>
      </c>
      <c r="D25" s="269"/>
      <c r="E25" s="269"/>
      <c r="F25" s="269"/>
      <c r="G25" s="269"/>
      <c r="H25" s="269"/>
      <c r="I25" s="269"/>
      <c r="J25" s="269"/>
      <c r="K25" s="269"/>
      <c r="L25" s="269"/>
      <c r="M25" s="269"/>
      <c r="N25" s="269"/>
      <c r="O25" s="269"/>
      <c r="P25" s="269"/>
      <c r="Q25" s="269"/>
      <c r="R25" s="269"/>
    </row>
    <row r="26" spans="2:18" ht="15">
      <c r="B26" s="261"/>
      <c r="C26" s="269" t="s">
        <v>29</v>
      </c>
      <c r="D26" s="269"/>
      <c r="E26" s="269"/>
      <c r="F26" s="269"/>
      <c r="G26" s="269"/>
      <c r="H26" s="269"/>
      <c r="I26" s="269"/>
      <c r="J26" s="269"/>
      <c r="K26" s="269"/>
      <c r="L26" s="269"/>
      <c r="M26" s="269"/>
      <c r="N26" s="269"/>
      <c r="O26" s="269"/>
      <c r="P26" s="269"/>
      <c r="Q26" s="269"/>
      <c r="R26" s="269"/>
    </row>
    <row r="27" spans="2:18" ht="15">
      <c r="B27" s="261"/>
      <c r="C27" s="269" t="s">
        <v>30</v>
      </c>
      <c r="D27" s="269"/>
      <c r="E27" s="269"/>
      <c r="F27" s="269"/>
      <c r="G27" s="269"/>
      <c r="H27" s="269"/>
      <c r="I27" s="269"/>
      <c r="J27" s="269"/>
      <c r="K27" s="269"/>
      <c r="L27" s="269"/>
      <c r="M27" s="269"/>
      <c r="N27" s="269"/>
      <c r="O27" s="269"/>
      <c r="P27" s="269"/>
      <c r="Q27" s="269"/>
      <c r="R27" s="269"/>
    </row>
    <row r="28" spans="2:18" ht="15">
      <c r="B28" s="261"/>
      <c r="C28" s="269" t="s">
        <v>31</v>
      </c>
      <c r="D28" s="269"/>
      <c r="E28" s="269"/>
      <c r="F28" s="269"/>
      <c r="G28" s="269"/>
      <c r="H28" s="269"/>
      <c r="I28" s="269"/>
      <c r="J28" s="269"/>
      <c r="K28" s="269"/>
      <c r="L28" s="269"/>
      <c r="M28" s="269"/>
      <c r="N28" s="269"/>
      <c r="O28" s="269"/>
      <c r="P28" s="269"/>
      <c r="Q28" s="269"/>
      <c r="R28" s="269"/>
    </row>
    <row r="29" spans="2:18" ht="15">
      <c r="B29" s="261"/>
      <c r="C29" s="269" t="s">
        <v>32</v>
      </c>
      <c r="D29" s="269"/>
      <c r="E29" s="269"/>
      <c r="F29" s="269"/>
      <c r="G29" s="269"/>
      <c r="H29" s="269"/>
      <c r="I29" s="269"/>
      <c r="J29" s="269"/>
      <c r="K29" s="269"/>
      <c r="L29" s="269"/>
      <c r="M29" s="269"/>
      <c r="N29" s="269"/>
      <c r="O29" s="269"/>
      <c r="P29" s="269"/>
      <c r="Q29" s="269"/>
      <c r="R29" s="269"/>
    </row>
    <row r="30" spans="2:18" ht="15">
      <c r="B30" s="270" t="s">
        <v>6</v>
      </c>
      <c r="C30" s="271"/>
      <c r="D30" s="271"/>
      <c r="E30" s="271"/>
      <c r="F30" s="271"/>
      <c r="G30" s="271"/>
      <c r="H30" s="271"/>
      <c r="I30" s="271"/>
      <c r="J30" s="271"/>
      <c r="K30" s="271"/>
      <c r="L30" s="271"/>
      <c r="M30" s="271"/>
      <c r="N30" s="271"/>
      <c r="O30" s="271"/>
      <c r="P30" s="271"/>
      <c r="Q30" s="271"/>
      <c r="R30" s="272"/>
    </row>
    <row r="31" spans="2:18" ht="15">
      <c r="B31" s="261">
        <v>12</v>
      </c>
      <c r="C31" s="158" t="s">
        <v>33</v>
      </c>
      <c r="D31" s="170" t="e">
        <f>D5/D13*D16*D14</f>
        <v>#VALUE!</v>
      </c>
      <c r="E31" s="170" t="e">
        <f aca="true" t="shared" si="4" ref="E31:R31">E5/E13*E16*E14</f>
        <v>#VALUE!</v>
      </c>
      <c r="F31" s="170" t="e">
        <f t="shared" si="4"/>
        <v>#VALUE!</v>
      </c>
      <c r="G31" s="170" t="e">
        <f t="shared" si="4"/>
        <v>#VALUE!</v>
      </c>
      <c r="H31" s="170" t="e">
        <f t="shared" si="4"/>
        <v>#VALUE!</v>
      </c>
      <c r="I31" s="170" t="e">
        <f t="shared" si="4"/>
        <v>#VALUE!</v>
      </c>
      <c r="J31" s="170" t="e">
        <f t="shared" si="4"/>
        <v>#VALUE!</v>
      </c>
      <c r="K31" s="170" t="e">
        <f t="shared" si="4"/>
        <v>#VALUE!</v>
      </c>
      <c r="L31" s="170" t="e">
        <f t="shared" si="4"/>
        <v>#VALUE!</v>
      </c>
      <c r="M31" s="170" t="e">
        <f t="shared" si="4"/>
        <v>#VALUE!</v>
      </c>
      <c r="N31" s="170" t="e">
        <f t="shared" si="4"/>
        <v>#VALUE!</v>
      </c>
      <c r="O31" s="170" t="e">
        <f t="shared" si="4"/>
        <v>#VALUE!</v>
      </c>
      <c r="P31" s="170" t="e">
        <f t="shared" si="4"/>
        <v>#VALUE!</v>
      </c>
      <c r="Q31" s="170" t="e">
        <f t="shared" si="4"/>
        <v>#VALUE!</v>
      </c>
      <c r="R31" s="170" t="e">
        <f t="shared" si="4"/>
        <v>#VALUE!</v>
      </c>
    </row>
    <row r="32" spans="2:18" ht="15">
      <c r="B32" s="261"/>
      <c r="C32" s="158" t="s">
        <v>34</v>
      </c>
      <c r="D32" s="168" t="e">
        <f>D5/D13*D17*D15</f>
        <v>#VALUE!</v>
      </c>
      <c r="E32" s="168" t="e">
        <f aca="true" t="shared" si="5" ref="E32:R32">E5/E13*E17*E15</f>
        <v>#VALUE!</v>
      </c>
      <c r="F32" s="168" t="e">
        <f t="shared" si="5"/>
        <v>#VALUE!</v>
      </c>
      <c r="G32" s="168" t="e">
        <f t="shared" si="5"/>
        <v>#VALUE!</v>
      </c>
      <c r="H32" s="168" t="e">
        <f t="shared" si="5"/>
        <v>#VALUE!</v>
      </c>
      <c r="I32" s="168" t="e">
        <f t="shared" si="5"/>
        <v>#VALUE!</v>
      </c>
      <c r="J32" s="168" t="e">
        <f t="shared" si="5"/>
        <v>#VALUE!</v>
      </c>
      <c r="K32" s="168" t="e">
        <f t="shared" si="5"/>
        <v>#VALUE!</v>
      </c>
      <c r="L32" s="168" t="e">
        <f t="shared" si="5"/>
        <v>#VALUE!</v>
      </c>
      <c r="M32" s="168" t="e">
        <f t="shared" si="5"/>
        <v>#VALUE!</v>
      </c>
      <c r="N32" s="168" t="e">
        <f t="shared" si="5"/>
        <v>#VALUE!</v>
      </c>
      <c r="O32" s="168" t="e">
        <f t="shared" si="5"/>
        <v>#VALUE!</v>
      </c>
      <c r="P32" s="168" t="e">
        <f t="shared" si="5"/>
        <v>#VALUE!</v>
      </c>
      <c r="Q32" s="168" t="e">
        <f t="shared" si="5"/>
        <v>#VALUE!</v>
      </c>
      <c r="R32" s="168" t="e">
        <f t="shared" si="5"/>
        <v>#VALUE!</v>
      </c>
    </row>
    <row r="33" spans="2:18" ht="15">
      <c r="B33" s="261"/>
      <c r="C33" s="158" t="s">
        <v>35</v>
      </c>
      <c r="D33" s="170" t="e">
        <f>D20*D21/D12</f>
        <v>#VALUE!</v>
      </c>
      <c r="E33" s="170" t="e">
        <f aca="true" t="shared" si="6" ref="E33:R33">E20*E21/E12</f>
        <v>#VALUE!</v>
      </c>
      <c r="F33" s="170" t="e">
        <f t="shared" si="6"/>
        <v>#VALUE!</v>
      </c>
      <c r="G33" s="170" t="e">
        <f t="shared" si="6"/>
        <v>#VALUE!</v>
      </c>
      <c r="H33" s="170" t="e">
        <f t="shared" si="6"/>
        <v>#VALUE!</v>
      </c>
      <c r="I33" s="170" t="e">
        <f t="shared" si="6"/>
        <v>#VALUE!</v>
      </c>
      <c r="J33" s="170" t="e">
        <f t="shared" si="6"/>
        <v>#VALUE!</v>
      </c>
      <c r="K33" s="170" t="e">
        <f t="shared" si="6"/>
        <v>#VALUE!</v>
      </c>
      <c r="L33" s="170" t="e">
        <f t="shared" si="6"/>
        <v>#VALUE!</v>
      </c>
      <c r="M33" s="170" t="e">
        <f t="shared" si="6"/>
        <v>#VALUE!</v>
      </c>
      <c r="N33" s="170" t="e">
        <f t="shared" si="6"/>
        <v>#VALUE!</v>
      </c>
      <c r="O33" s="170" t="e">
        <f t="shared" si="6"/>
        <v>#VALUE!</v>
      </c>
      <c r="P33" s="170" t="e">
        <f t="shared" si="6"/>
        <v>#VALUE!</v>
      </c>
      <c r="Q33" s="170" t="e">
        <f t="shared" si="6"/>
        <v>#VALUE!</v>
      </c>
      <c r="R33" s="170" t="e">
        <f t="shared" si="6"/>
        <v>#VALUE!</v>
      </c>
    </row>
    <row r="34" spans="2:18" ht="15">
      <c r="B34" s="261"/>
      <c r="C34" s="158" t="s">
        <v>36</v>
      </c>
      <c r="D34" s="171">
        <f>D19*D21/D12</f>
        <v>0.17682317682317683</v>
      </c>
      <c r="E34" s="171">
        <f aca="true" t="shared" si="7" ref="E34:R34">E19*E21/E12</f>
        <v>0.17318982387475537</v>
      </c>
      <c r="F34" s="171">
        <f t="shared" si="7"/>
        <v>0.22602739726027396</v>
      </c>
      <c r="G34" s="171">
        <f t="shared" si="7"/>
        <v>0.22602739726027396</v>
      </c>
      <c r="H34" s="171">
        <f t="shared" si="7"/>
        <v>0.3816046966731898</v>
      </c>
      <c r="I34" s="171">
        <f t="shared" si="7"/>
        <v>0.17318982387475537</v>
      </c>
      <c r="J34" s="171">
        <f t="shared" si="7"/>
        <v>0.17318982387475537</v>
      </c>
      <c r="K34" s="171">
        <f t="shared" si="7"/>
        <v>0.22602739726027396</v>
      </c>
      <c r="L34" s="171">
        <f t="shared" si="7"/>
        <v>0.22602739726027396</v>
      </c>
      <c r="M34" s="171">
        <f t="shared" si="7"/>
        <v>0.3816046966731898</v>
      </c>
      <c r="N34" s="171">
        <f t="shared" si="7"/>
        <v>0.17318982387475537</v>
      </c>
      <c r="O34" s="171">
        <f t="shared" si="7"/>
        <v>0.17318982387475537</v>
      </c>
      <c r="P34" s="171">
        <f t="shared" si="7"/>
        <v>0.2759295499021526</v>
      </c>
      <c r="Q34" s="171">
        <f t="shared" si="7"/>
        <v>0.22602739726027396</v>
      </c>
      <c r="R34" s="171">
        <f t="shared" si="7"/>
        <v>0.3816046966731898</v>
      </c>
    </row>
    <row r="35" spans="2:18" ht="15">
      <c r="B35" s="261"/>
      <c r="C35" s="158" t="s">
        <v>37</v>
      </c>
      <c r="D35" s="171">
        <v>0.5</v>
      </c>
      <c r="E35" s="171">
        <v>0.5</v>
      </c>
      <c r="F35" s="171">
        <v>0.5</v>
      </c>
      <c r="G35" s="171">
        <v>0.5</v>
      </c>
      <c r="H35" s="171">
        <v>0.5</v>
      </c>
      <c r="I35" s="171">
        <v>0.5</v>
      </c>
      <c r="J35" s="171">
        <v>0.5</v>
      </c>
      <c r="K35" s="171">
        <v>0.5</v>
      </c>
      <c r="L35" s="171">
        <v>0.5</v>
      </c>
      <c r="M35" s="171">
        <v>0.5</v>
      </c>
      <c r="N35" s="171">
        <v>0.5</v>
      </c>
      <c r="O35" s="171">
        <v>0.5</v>
      </c>
      <c r="P35" s="171">
        <v>0.5</v>
      </c>
      <c r="Q35" s="171">
        <v>0.5</v>
      </c>
      <c r="R35" s="171">
        <v>0.5</v>
      </c>
    </row>
    <row r="36" spans="2:18" ht="15">
      <c r="B36" s="261"/>
      <c r="C36" s="158" t="s">
        <v>38</v>
      </c>
      <c r="D36" s="170">
        <f>IF(D21=1,0.85,IF(D21=3,0,IF(D21=2,0.85)))</f>
        <v>0</v>
      </c>
      <c r="E36" s="170">
        <f>IF(E21=1,0.85,IF(E21=3,0,IF(E21=2,0.85)))</f>
        <v>0</v>
      </c>
      <c r="F36" s="170">
        <f>IF(F21=1,0.85,IF(F21=3,0,IF(F21=2,0.85)))</f>
        <v>0</v>
      </c>
      <c r="G36" s="170">
        <f>IF(G21=1,0.85,IF(G21=3,0,IF(G21=2,0.85)))</f>
        <v>0</v>
      </c>
      <c r="H36" s="170">
        <f>IF(H21=1,0.85,IF(H21=3,0,IF(H21=2,0.85)))</f>
        <v>0</v>
      </c>
      <c r="I36" s="170">
        <v>0</v>
      </c>
      <c r="J36" s="170">
        <f>IF(J21=1,0.85,IF(J21=3,0,IF(J21=2,0.85)))</f>
        <v>0</v>
      </c>
      <c r="K36" s="170">
        <f>IF(K21=1,0.85,IF(K21=3,0,IF(K21=2,0.85)))</f>
        <v>0</v>
      </c>
      <c r="L36" s="170">
        <f>IF(L21=1,0.85,IF(L21=3,0,IF(L21=2,0.85)))</f>
        <v>0</v>
      </c>
      <c r="M36" s="170">
        <f>IF(M21=1,0.85,IF(M21=3,0,IF(M21=2,0.85)))</f>
        <v>0</v>
      </c>
      <c r="N36" s="170">
        <f aca="true" t="shared" si="8" ref="N36:R36">IF(N21=1,0.85,IF(N21=3,0,IF(N21=2,0.85)))</f>
        <v>0</v>
      </c>
      <c r="O36" s="170">
        <f t="shared" si="8"/>
        <v>0</v>
      </c>
      <c r="P36" s="170">
        <f t="shared" si="8"/>
        <v>0</v>
      </c>
      <c r="Q36" s="170">
        <f t="shared" si="8"/>
        <v>0</v>
      </c>
      <c r="R36" s="170">
        <f t="shared" si="8"/>
        <v>0</v>
      </c>
    </row>
    <row r="37" spans="2:18" ht="15">
      <c r="B37" s="273" t="s">
        <v>7</v>
      </c>
      <c r="C37" s="273"/>
      <c r="D37" s="273"/>
      <c r="E37" s="273"/>
      <c r="F37" s="273"/>
      <c r="G37" s="273"/>
      <c r="H37" s="273"/>
      <c r="I37" s="273"/>
      <c r="J37" s="273"/>
      <c r="K37" s="273"/>
      <c r="L37" s="273"/>
      <c r="M37" s="273"/>
      <c r="N37" s="273"/>
      <c r="O37" s="273"/>
      <c r="P37" s="273"/>
      <c r="Q37" s="273"/>
      <c r="R37" s="273"/>
    </row>
    <row r="38" spans="2:18" ht="15">
      <c r="B38" s="274">
        <v>13</v>
      </c>
      <c r="C38" s="172" t="s">
        <v>39</v>
      </c>
      <c r="D38" s="172" t="s">
        <v>88</v>
      </c>
      <c r="E38" s="172" t="s">
        <v>88</v>
      </c>
      <c r="F38" s="172" t="s">
        <v>88</v>
      </c>
      <c r="G38" s="172" t="s">
        <v>88</v>
      </c>
      <c r="H38" s="172" t="s">
        <v>88</v>
      </c>
      <c r="I38" s="172" t="s">
        <v>88</v>
      </c>
      <c r="J38" s="172" t="s">
        <v>88</v>
      </c>
      <c r="K38" s="172" t="s">
        <v>88</v>
      </c>
      <c r="L38" s="172" t="s">
        <v>88</v>
      </c>
      <c r="M38" s="172" t="s">
        <v>88</v>
      </c>
      <c r="N38" s="172" t="s">
        <v>88</v>
      </c>
      <c r="O38" s="172" t="s">
        <v>88</v>
      </c>
      <c r="P38" s="172" t="s">
        <v>88</v>
      </c>
      <c r="Q38" s="172" t="s">
        <v>88</v>
      </c>
      <c r="R38" s="172" t="s">
        <v>88</v>
      </c>
    </row>
    <row r="39" spans="2:18" ht="27.6">
      <c r="B39" s="274"/>
      <c r="C39" s="158" t="s">
        <v>40</v>
      </c>
      <c r="D39" s="173" t="s">
        <v>88</v>
      </c>
      <c r="E39" s="173" t="s">
        <v>88</v>
      </c>
      <c r="F39" s="173" t="s">
        <v>88</v>
      </c>
      <c r="G39" s="173" t="s">
        <v>88</v>
      </c>
      <c r="H39" s="173" t="s">
        <v>88</v>
      </c>
      <c r="I39" s="173" t="s">
        <v>88</v>
      </c>
      <c r="J39" s="173" t="s">
        <v>88</v>
      </c>
      <c r="K39" s="173" t="s">
        <v>88</v>
      </c>
      <c r="L39" s="173" t="s">
        <v>88</v>
      </c>
      <c r="M39" s="173" t="s">
        <v>88</v>
      </c>
      <c r="N39" s="173" t="s">
        <v>88</v>
      </c>
      <c r="O39" s="173" t="s">
        <v>88</v>
      </c>
      <c r="P39" s="173" t="s">
        <v>88</v>
      </c>
      <c r="Q39" s="173" t="s">
        <v>88</v>
      </c>
      <c r="R39" s="173" t="s">
        <v>88</v>
      </c>
    </row>
    <row r="40" spans="2:18" ht="15">
      <c r="B40" s="274"/>
      <c r="C40" s="172" t="s">
        <v>41</v>
      </c>
      <c r="D40" s="173" t="e">
        <f>(D7+D9+D31+D32+D33+D34+D35+D36+D38+D39)*D41</f>
        <v>#VALUE!</v>
      </c>
      <c r="E40" s="173" t="e">
        <f aca="true" t="shared" si="9" ref="E40:R40">(E7+E9+E31+E32+E33+E34+E35+E36+E38+E39)*E41</f>
        <v>#VALUE!</v>
      </c>
      <c r="F40" s="173" t="e">
        <f t="shared" si="9"/>
        <v>#VALUE!</v>
      </c>
      <c r="G40" s="173" t="e">
        <f t="shared" si="9"/>
        <v>#VALUE!</v>
      </c>
      <c r="H40" s="173" t="e">
        <f t="shared" si="9"/>
        <v>#VALUE!</v>
      </c>
      <c r="I40" s="173" t="e">
        <f t="shared" si="9"/>
        <v>#VALUE!</v>
      </c>
      <c r="J40" s="173" t="e">
        <f t="shared" si="9"/>
        <v>#VALUE!</v>
      </c>
      <c r="K40" s="173" t="e">
        <f t="shared" si="9"/>
        <v>#VALUE!</v>
      </c>
      <c r="L40" s="173" t="e">
        <f t="shared" si="9"/>
        <v>#VALUE!</v>
      </c>
      <c r="M40" s="173" t="e">
        <f t="shared" si="9"/>
        <v>#VALUE!</v>
      </c>
      <c r="N40" s="173" t="e">
        <f t="shared" si="9"/>
        <v>#VALUE!</v>
      </c>
      <c r="O40" s="173" t="e">
        <f t="shared" si="9"/>
        <v>#VALUE!</v>
      </c>
      <c r="P40" s="173" t="e">
        <f t="shared" si="9"/>
        <v>#VALUE!</v>
      </c>
      <c r="Q40" s="173" t="e">
        <f t="shared" si="9"/>
        <v>#VALUE!</v>
      </c>
      <c r="R40" s="173" t="e">
        <f t="shared" si="9"/>
        <v>#VALUE!</v>
      </c>
    </row>
    <row r="41" spans="2:18" ht="15">
      <c r="B41" s="274"/>
      <c r="C41" s="172" t="s">
        <v>42</v>
      </c>
      <c r="D41" s="174" t="s">
        <v>88</v>
      </c>
      <c r="E41" s="174" t="s">
        <v>88</v>
      </c>
      <c r="F41" s="174" t="s">
        <v>88</v>
      </c>
      <c r="G41" s="174" t="s">
        <v>88</v>
      </c>
      <c r="H41" s="174" t="s">
        <v>88</v>
      </c>
      <c r="I41" s="174" t="s">
        <v>88</v>
      </c>
      <c r="J41" s="174" t="s">
        <v>88</v>
      </c>
      <c r="K41" s="174" t="s">
        <v>88</v>
      </c>
      <c r="L41" s="174" t="s">
        <v>88</v>
      </c>
      <c r="M41" s="174" t="s">
        <v>88</v>
      </c>
      <c r="N41" s="174" t="s">
        <v>88</v>
      </c>
      <c r="O41" s="174" t="s">
        <v>88</v>
      </c>
      <c r="P41" s="174" t="s">
        <v>88</v>
      </c>
      <c r="Q41" s="174" t="s">
        <v>88</v>
      </c>
      <c r="R41" s="174" t="s">
        <v>88</v>
      </c>
    </row>
    <row r="42" spans="2:18" ht="69">
      <c r="B42" s="175" t="s">
        <v>43</v>
      </c>
      <c r="C42" s="161" t="s">
        <v>44</v>
      </c>
      <c r="D42" s="176" t="e">
        <f>D7+D9+D31+D32+D33+D34+D35+D36+D38+D39+D40</f>
        <v>#VALUE!</v>
      </c>
      <c r="E42" s="176" t="e">
        <f aca="true" t="shared" si="10" ref="E42:R42">E7+E9+E31+E32+E33+E34+E35+E36+E38+E39+E40</f>
        <v>#VALUE!</v>
      </c>
      <c r="F42" s="176" t="e">
        <f t="shared" si="10"/>
        <v>#VALUE!</v>
      </c>
      <c r="G42" s="176" t="e">
        <f t="shared" si="10"/>
        <v>#VALUE!</v>
      </c>
      <c r="H42" s="176" t="e">
        <f t="shared" si="10"/>
        <v>#VALUE!</v>
      </c>
      <c r="I42" s="176" t="e">
        <f t="shared" si="10"/>
        <v>#VALUE!</v>
      </c>
      <c r="J42" s="176" t="e">
        <f t="shared" si="10"/>
        <v>#VALUE!</v>
      </c>
      <c r="K42" s="176" t="e">
        <f t="shared" si="10"/>
        <v>#VALUE!</v>
      </c>
      <c r="L42" s="176" t="e">
        <f t="shared" si="10"/>
        <v>#VALUE!</v>
      </c>
      <c r="M42" s="176" t="e">
        <f t="shared" si="10"/>
        <v>#VALUE!</v>
      </c>
      <c r="N42" s="176" t="e">
        <f t="shared" si="10"/>
        <v>#VALUE!</v>
      </c>
      <c r="O42" s="176" t="e">
        <f t="shared" si="10"/>
        <v>#VALUE!</v>
      </c>
      <c r="P42" s="176" t="e">
        <f t="shared" si="10"/>
        <v>#VALUE!</v>
      </c>
      <c r="Q42" s="176" t="e">
        <f t="shared" si="10"/>
        <v>#VALUE!</v>
      </c>
      <c r="R42" s="176" t="e">
        <f t="shared" si="10"/>
        <v>#VALUE!</v>
      </c>
    </row>
    <row r="43" spans="2:18" ht="41.4">
      <c r="B43" s="253">
        <v>14</v>
      </c>
      <c r="C43" s="161" t="s">
        <v>46</v>
      </c>
      <c r="D43" s="176">
        <v>11.49</v>
      </c>
      <c r="E43" s="176">
        <v>13.14</v>
      </c>
      <c r="F43" s="176">
        <v>16.45</v>
      </c>
      <c r="G43" s="177">
        <v>20.58</v>
      </c>
      <c r="H43" s="177">
        <v>25.54</v>
      </c>
      <c r="I43" s="177">
        <v>9.83</v>
      </c>
      <c r="J43" s="177">
        <v>11.49</v>
      </c>
      <c r="K43" s="177">
        <v>14.79</v>
      </c>
      <c r="L43" s="177">
        <v>18.93</v>
      </c>
      <c r="M43" s="177">
        <v>23.88</v>
      </c>
      <c r="N43" s="177">
        <v>9.01</v>
      </c>
      <c r="O43" s="177">
        <v>9.83</v>
      </c>
      <c r="P43" s="177">
        <v>12.31</v>
      </c>
      <c r="Q43" s="177">
        <v>13.97</v>
      </c>
      <c r="R43" s="177">
        <v>19.75</v>
      </c>
    </row>
    <row r="44" spans="2:18" ht="41.4">
      <c r="B44" s="253"/>
      <c r="C44" s="161" t="s">
        <v>48</v>
      </c>
      <c r="D44" s="176">
        <f>50/D11</f>
        <v>2.0833333333333335</v>
      </c>
      <c r="E44" s="176">
        <f aca="true" t="shared" si="11" ref="E44:H44">50/E11</f>
        <v>2.0833333333333335</v>
      </c>
      <c r="F44" s="176">
        <f t="shared" si="11"/>
        <v>2.0833333333333335</v>
      </c>
      <c r="G44" s="176">
        <f t="shared" si="11"/>
        <v>2.0833333333333335</v>
      </c>
      <c r="H44" s="176">
        <f t="shared" si="11"/>
        <v>2.0833333333333335</v>
      </c>
      <c r="I44" s="176">
        <f>20/I11</f>
        <v>0.8333333333333334</v>
      </c>
      <c r="J44" s="176">
        <f aca="true" t="shared" si="12" ref="J44:M44">20/J11</f>
        <v>0.8333333333333334</v>
      </c>
      <c r="K44" s="176">
        <f t="shared" si="12"/>
        <v>0.8333333333333334</v>
      </c>
      <c r="L44" s="176">
        <f t="shared" si="12"/>
        <v>0.8333333333333334</v>
      </c>
      <c r="M44" s="176">
        <f t="shared" si="12"/>
        <v>0.8333333333333334</v>
      </c>
      <c r="N44" s="177">
        <v>0</v>
      </c>
      <c r="O44" s="177">
        <v>0</v>
      </c>
      <c r="P44" s="177">
        <v>0</v>
      </c>
      <c r="Q44" s="177">
        <v>0</v>
      </c>
      <c r="R44" s="177">
        <v>0</v>
      </c>
    </row>
    <row r="45" spans="2:18" ht="55.8" thickBot="1">
      <c r="B45" s="253"/>
      <c r="C45" s="161" t="s">
        <v>49</v>
      </c>
      <c r="D45" s="168" t="s">
        <v>88</v>
      </c>
      <c r="E45" s="168" t="s">
        <v>88</v>
      </c>
      <c r="F45" s="168" t="s">
        <v>88</v>
      </c>
      <c r="G45" s="168" t="s">
        <v>88</v>
      </c>
      <c r="H45" s="168" t="s">
        <v>88</v>
      </c>
      <c r="I45" s="168" t="s">
        <v>88</v>
      </c>
      <c r="J45" s="168" t="s">
        <v>88</v>
      </c>
      <c r="K45" s="168" t="s">
        <v>88</v>
      </c>
      <c r="L45" s="168" t="s">
        <v>88</v>
      </c>
      <c r="M45" s="168" t="s">
        <v>88</v>
      </c>
      <c r="N45" s="168" t="s">
        <v>88</v>
      </c>
      <c r="O45" s="168" t="s">
        <v>88</v>
      </c>
      <c r="P45" s="168" t="s">
        <v>88</v>
      </c>
      <c r="Q45" s="168" t="s">
        <v>88</v>
      </c>
      <c r="R45" s="168" t="s">
        <v>88</v>
      </c>
    </row>
    <row r="46" spans="2:18" ht="73.8" thickBot="1" thickTop="1">
      <c r="B46" s="175" t="s">
        <v>51</v>
      </c>
      <c r="C46" s="161" t="s">
        <v>52</v>
      </c>
      <c r="D46" s="54" t="s">
        <v>106</v>
      </c>
      <c r="E46" s="55" t="s">
        <v>106</v>
      </c>
      <c r="F46" s="55" t="s">
        <v>106</v>
      </c>
      <c r="G46" s="55" t="s">
        <v>106</v>
      </c>
      <c r="H46" s="55" t="s">
        <v>107</v>
      </c>
      <c r="I46" s="55" t="s">
        <v>106</v>
      </c>
      <c r="J46" s="55" t="s">
        <v>106</v>
      </c>
      <c r="K46" s="55" t="s">
        <v>106</v>
      </c>
      <c r="L46" s="55" t="s">
        <v>106</v>
      </c>
      <c r="M46" s="55" t="s">
        <v>107</v>
      </c>
      <c r="N46" s="55" t="s">
        <v>106</v>
      </c>
      <c r="O46" s="55" t="s">
        <v>106</v>
      </c>
      <c r="P46" s="55" t="s">
        <v>106</v>
      </c>
      <c r="Q46" s="55" t="s">
        <v>106</v>
      </c>
      <c r="R46" s="56" t="s">
        <v>107</v>
      </c>
    </row>
    <row r="47" ht="15" thickTop="1"/>
  </sheetData>
  <sheetProtection algorithmName="SHA-512" hashValue="NPlb8Tu+RX5nXoiYYsplYZmZCrbiZym2D/7sV08SfvjoGFPEESUYcJEFgXXNPkl/KSO/ctOjhSMJfVNapH9RYg==" saltValue="kPcjloHtsSxR+lo1cJbN3w==" spinCount="100000" sheet="1" objects="1" scenarios="1"/>
  <mergeCells count="27">
    <mergeCell ref="B30:R30"/>
    <mergeCell ref="B31:B36"/>
    <mergeCell ref="B37:R37"/>
    <mergeCell ref="B38:B41"/>
    <mergeCell ref="B43:B45"/>
    <mergeCell ref="B24:B29"/>
    <mergeCell ref="C24:R24"/>
    <mergeCell ref="C25:R25"/>
    <mergeCell ref="C26:R26"/>
    <mergeCell ref="C27:R27"/>
    <mergeCell ref="C28:R28"/>
    <mergeCell ref="C29:R29"/>
    <mergeCell ref="B23:R23"/>
    <mergeCell ref="D2:H3"/>
    <mergeCell ref="I2:R2"/>
    <mergeCell ref="B3:B5"/>
    <mergeCell ref="I3:M3"/>
    <mergeCell ref="N3:R3"/>
    <mergeCell ref="C4:C5"/>
    <mergeCell ref="D4:H4"/>
    <mergeCell ref="I4:M4"/>
    <mergeCell ref="N4:R4"/>
    <mergeCell ref="B6:R6"/>
    <mergeCell ref="B7:B9"/>
    <mergeCell ref="B10:R10"/>
    <mergeCell ref="B16:B17"/>
    <mergeCell ref="C16:C17"/>
  </mergeCells>
  <dataValidations count="1">
    <dataValidation type="list" allowBlank="1" showInputMessage="1" showErrorMessage="1" sqref="D36:R36">
      <formula1>#REF!</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E15F0-508E-40CB-9207-3745C8304F73}">
  <dimension ref="A1:AN48"/>
  <sheetViews>
    <sheetView zoomScale="85" zoomScaleNormal="85" workbookViewId="0" topLeftCell="A1">
      <selection activeCell="A1" sqref="A1:B1"/>
    </sheetView>
  </sheetViews>
  <sheetFormatPr defaultColWidth="0" defaultRowHeight="15" outlineLevelCol="1"/>
  <cols>
    <col min="1" max="1" width="8.8515625" style="5" customWidth="1"/>
    <col min="2" max="2" width="71.7109375" style="5" customWidth="1"/>
    <col min="3" max="3" width="11.140625" style="5" customWidth="1"/>
    <col min="4" max="4" width="9.7109375" style="5" customWidth="1" outlineLevel="1"/>
    <col min="5" max="5" width="9.28125" style="5" customWidth="1" outlineLevel="1"/>
    <col min="6" max="7" width="9.421875" style="5" customWidth="1" outlineLevel="1"/>
    <col min="8" max="8" width="10.00390625" style="5" customWidth="1" outlineLevel="1"/>
    <col min="9" max="9" width="9.57421875" style="5" customWidth="1" outlineLevel="1"/>
    <col min="10" max="10" width="10.00390625" style="5" customWidth="1" outlineLevel="1"/>
    <col min="11" max="16" width="9.7109375" style="5" customWidth="1" outlineLevel="1"/>
    <col min="17" max="17" width="9.8515625" style="5" customWidth="1" outlineLevel="1"/>
    <col min="18" max="18" width="1.421875" style="5" customWidth="1" outlineLevel="1"/>
    <col min="19" max="19" width="9.28125" style="5" customWidth="1"/>
    <col min="20" max="20" width="10.00390625" style="5" customWidth="1" outlineLevel="1"/>
    <col min="21" max="22" width="9.7109375" style="5" customWidth="1" outlineLevel="1"/>
    <col min="23" max="23" width="9.8515625" style="5" customWidth="1" outlineLevel="1"/>
    <col min="24" max="24" width="9.57421875" style="5" customWidth="1" outlineLevel="1"/>
    <col min="25" max="25" width="1.421875" style="5" customWidth="1" outlineLevel="1"/>
    <col min="26" max="26" width="9.8515625" style="5" customWidth="1"/>
    <col min="27" max="27" width="9.8515625" style="5" customWidth="1" outlineLevel="1"/>
    <col min="28" max="28" width="9.421875" style="5" customWidth="1" outlineLevel="1"/>
    <col min="29" max="29" width="9.8515625" style="5" customWidth="1" outlineLevel="1"/>
    <col min="30" max="30" width="9.57421875" style="5" customWidth="1" outlineLevel="1"/>
    <col min="31" max="31" width="10.00390625" style="5" customWidth="1" outlineLevel="1"/>
    <col min="32" max="32" width="9.8515625" style="5" customWidth="1" outlineLevel="1"/>
    <col min="33" max="33" width="1.57421875" style="5" customWidth="1" outlineLevel="1"/>
    <col min="34" max="34" width="9.7109375" style="5" customWidth="1"/>
    <col min="35" max="35" width="10.00390625" style="5" customWidth="1" outlineLevel="1"/>
    <col min="36" max="36" width="9.7109375" style="5" customWidth="1" outlineLevel="1"/>
    <col min="37" max="39" width="9.421875" style="5" customWidth="1" outlineLevel="1"/>
    <col min="40" max="40" width="9.57421875" style="5" customWidth="1" outlineLevel="1"/>
    <col min="41" max="41" width="2.7109375" style="5" customWidth="1" outlineLevel="1"/>
    <col min="42" max="42" width="8.8515625" style="5" customWidth="1"/>
    <col min="43" max="16384" width="8.8515625" style="5" hidden="1" customWidth="1"/>
  </cols>
  <sheetData>
    <row r="1" spans="1:40" ht="14.4" customHeight="1" thickTop="1">
      <c r="A1" s="275" t="s">
        <v>79</v>
      </c>
      <c r="B1" s="276"/>
      <c r="C1" s="277" t="s">
        <v>8</v>
      </c>
      <c r="D1" s="278"/>
      <c r="E1" s="278"/>
      <c r="F1" s="278"/>
      <c r="G1" s="278"/>
      <c r="H1" s="278"/>
      <c r="I1" s="278"/>
      <c r="J1" s="278"/>
      <c r="K1" s="278"/>
      <c r="L1" s="278"/>
      <c r="M1" s="278"/>
      <c r="N1" s="278"/>
      <c r="O1" s="278"/>
      <c r="P1" s="278"/>
      <c r="Q1" s="279"/>
      <c r="R1" s="22"/>
      <c r="S1" s="280" t="s">
        <v>80</v>
      </c>
      <c r="T1" s="281"/>
      <c r="U1" s="281"/>
      <c r="V1" s="281"/>
      <c r="W1" s="281"/>
      <c r="X1" s="282"/>
      <c r="Y1" s="22"/>
      <c r="Z1" s="283" t="s">
        <v>85</v>
      </c>
      <c r="AA1" s="284"/>
      <c r="AB1" s="284"/>
      <c r="AC1" s="284"/>
      <c r="AD1" s="284"/>
      <c r="AE1" s="284"/>
      <c r="AF1" s="285"/>
      <c r="AG1" s="22"/>
      <c r="AH1" s="286" t="s">
        <v>86</v>
      </c>
      <c r="AI1" s="287"/>
      <c r="AJ1" s="287"/>
      <c r="AK1" s="287"/>
      <c r="AL1" s="287"/>
      <c r="AM1" s="287"/>
      <c r="AN1" s="288"/>
    </row>
    <row r="2" spans="1:40" ht="15">
      <c r="A2" s="289" t="s">
        <v>0</v>
      </c>
      <c r="B2" s="295" t="s">
        <v>11</v>
      </c>
      <c r="C2" s="301" t="s">
        <v>9</v>
      </c>
      <c r="D2" s="302"/>
      <c r="E2" s="302"/>
      <c r="F2" s="302"/>
      <c r="G2" s="302"/>
      <c r="H2" s="302" t="s">
        <v>10</v>
      </c>
      <c r="I2" s="302"/>
      <c r="J2" s="302"/>
      <c r="K2" s="302"/>
      <c r="L2" s="302"/>
      <c r="M2" s="302"/>
      <c r="N2" s="302"/>
      <c r="O2" s="302"/>
      <c r="P2" s="302"/>
      <c r="Q2" s="324"/>
      <c r="R2" s="22"/>
      <c r="S2" s="327" t="s">
        <v>9</v>
      </c>
      <c r="T2" s="322"/>
      <c r="U2" s="322" t="s">
        <v>10</v>
      </c>
      <c r="V2" s="322"/>
      <c r="W2" s="322"/>
      <c r="X2" s="323"/>
      <c r="Y2" s="22"/>
      <c r="Z2" s="301" t="s">
        <v>10</v>
      </c>
      <c r="AA2" s="302"/>
      <c r="AB2" s="302"/>
      <c r="AC2" s="302"/>
      <c r="AD2" s="302"/>
      <c r="AE2" s="302"/>
      <c r="AF2" s="324"/>
      <c r="AG2" s="22"/>
      <c r="AH2" s="308"/>
      <c r="AI2" s="309"/>
      <c r="AJ2" s="309"/>
      <c r="AK2" s="309"/>
      <c r="AL2" s="309"/>
      <c r="AM2" s="309"/>
      <c r="AN2" s="310"/>
    </row>
    <row r="3" spans="1:40" ht="15">
      <c r="A3" s="289"/>
      <c r="B3" s="295"/>
      <c r="C3" s="301"/>
      <c r="D3" s="302"/>
      <c r="E3" s="302"/>
      <c r="F3" s="302"/>
      <c r="G3" s="302"/>
      <c r="H3" s="302" t="s">
        <v>81</v>
      </c>
      <c r="I3" s="302"/>
      <c r="J3" s="302"/>
      <c r="K3" s="302"/>
      <c r="L3" s="302"/>
      <c r="M3" s="302" t="s">
        <v>82</v>
      </c>
      <c r="N3" s="302"/>
      <c r="O3" s="302"/>
      <c r="P3" s="302"/>
      <c r="Q3" s="324"/>
      <c r="R3" s="22"/>
      <c r="S3" s="327"/>
      <c r="T3" s="322"/>
      <c r="U3" s="325" t="s">
        <v>81</v>
      </c>
      <c r="V3" s="325"/>
      <c r="W3" s="325" t="s">
        <v>82</v>
      </c>
      <c r="X3" s="326"/>
      <c r="Y3" s="22"/>
      <c r="Z3" s="301" t="s">
        <v>81</v>
      </c>
      <c r="AA3" s="302"/>
      <c r="AB3" s="302"/>
      <c r="AC3" s="302"/>
      <c r="AD3" s="302"/>
      <c r="AE3" s="302"/>
      <c r="AF3" s="324"/>
      <c r="AG3" s="22"/>
      <c r="AH3" s="311"/>
      <c r="AI3" s="312"/>
      <c r="AJ3" s="312"/>
      <c r="AK3" s="312"/>
      <c r="AL3" s="312"/>
      <c r="AM3" s="312"/>
      <c r="AN3" s="313"/>
    </row>
    <row r="4" spans="1:40" ht="14.4" customHeight="1">
      <c r="A4" s="289"/>
      <c r="B4" s="295"/>
      <c r="C4" s="289" t="s">
        <v>12</v>
      </c>
      <c r="D4" s="294"/>
      <c r="E4" s="294"/>
      <c r="F4" s="294"/>
      <c r="G4" s="294"/>
      <c r="H4" s="294" t="s">
        <v>12</v>
      </c>
      <c r="I4" s="294"/>
      <c r="J4" s="294"/>
      <c r="K4" s="294"/>
      <c r="L4" s="294"/>
      <c r="M4" s="294" t="s">
        <v>12</v>
      </c>
      <c r="N4" s="294"/>
      <c r="O4" s="294"/>
      <c r="P4" s="294"/>
      <c r="Q4" s="295"/>
      <c r="R4" s="22"/>
      <c r="S4" s="7" t="s">
        <v>83</v>
      </c>
      <c r="T4" s="9" t="s">
        <v>84</v>
      </c>
      <c r="U4" s="9" t="s">
        <v>83</v>
      </c>
      <c r="V4" s="9" t="s">
        <v>84</v>
      </c>
      <c r="W4" s="9" t="s">
        <v>83</v>
      </c>
      <c r="X4" s="8" t="s">
        <v>84</v>
      </c>
      <c r="Y4" s="22"/>
      <c r="Z4" s="289" t="s">
        <v>87</v>
      </c>
      <c r="AA4" s="294"/>
      <c r="AB4" s="294"/>
      <c r="AC4" s="294"/>
      <c r="AD4" s="294"/>
      <c r="AE4" s="10" t="s">
        <v>83</v>
      </c>
      <c r="AF4" s="11" t="s">
        <v>84</v>
      </c>
      <c r="AG4" s="22"/>
      <c r="AH4" s="289" t="s">
        <v>87</v>
      </c>
      <c r="AI4" s="294"/>
      <c r="AJ4" s="294"/>
      <c r="AK4" s="294"/>
      <c r="AL4" s="294"/>
      <c r="AM4" s="23" t="s">
        <v>83</v>
      </c>
      <c r="AN4" s="20" t="s">
        <v>84</v>
      </c>
    </row>
    <row r="5" spans="1:40" ht="15" thickBot="1">
      <c r="A5" s="299"/>
      <c r="B5" s="300"/>
      <c r="C5" s="12">
        <v>100</v>
      </c>
      <c r="D5" s="14">
        <v>250</v>
      </c>
      <c r="E5" s="14">
        <v>500</v>
      </c>
      <c r="F5" s="14">
        <v>1000</v>
      </c>
      <c r="G5" s="14">
        <v>2000</v>
      </c>
      <c r="H5" s="14">
        <v>100</v>
      </c>
      <c r="I5" s="14">
        <v>250</v>
      </c>
      <c r="J5" s="14">
        <v>500</v>
      </c>
      <c r="K5" s="14">
        <v>1000</v>
      </c>
      <c r="L5" s="14">
        <v>2000</v>
      </c>
      <c r="M5" s="14">
        <v>100</v>
      </c>
      <c r="N5" s="14">
        <v>250</v>
      </c>
      <c r="O5" s="14">
        <v>500</v>
      </c>
      <c r="P5" s="14">
        <v>1000</v>
      </c>
      <c r="Q5" s="13">
        <v>2000</v>
      </c>
      <c r="R5" s="22"/>
      <c r="S5" s="12">
        <v>19</v>
      </c>
      <c r="T5" s="14">
        <v>250</v>
      </c>
      <c r="U5" s="14">
        <v>19</v>
      </c>
      <c r="V5" s="14">
        <v>250</v>
      </c>
      <c r="W5" s="14">
        <v>19</v>
      </c>
      <c r="X5" s="13">
        <v>250</v>
      </c>
      <c r="Y5" s="22"/>
      <c r="Z5" s="12">
        <v>100</v>
      </c>
      <c r="AA5" s="14">
        <v>250</v>
      </c>
      <c r="AB5" s="14">
        <v>500</v>
      </c>
      <c r="AC5" s="14">
        <v>1000</v>
      </c>
      <c r="AD5" s="14">
        <v>2000</v>
      </c>
      <c r="AE5" s="14">
        <v>19</v>
      </c>
      <c r="AF5" s="13">
        <v>250</v>
      </c>
      <c r="AG5" s="22"/>
      <c r="AH5" s="24">
        <v>60</v>
      </c>
      <c r="AI5" s="14">
        <v>100</v>
      </c>
      <c r="AJ5" s="14">
        <v>300</v>
      </c>
      <c r="AK5" s="14">
        <v>1000</v>
      </c>
      <c r="AL5" s="14">
        <v>2000</v>
      </c>
      <c r="AM5" s="14">
        <v>20</v>
      </c>
      <c r="AN5" s="13">
        <v>250</v>
      </c>
    </row>
    <row r="6" spans="1:40" ht="14.4" customHeight="1" thickBot="1" thickTop="1">
      <c r="A6" s="296" t="s">
        <v>1</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8"/>
    </row>
    <row r="7" spans="1:40" ht="15" thickTop="1">
      <c r="A7" s="290">
        <v>1</v>
      </c>
      <c r="B7" s="44" t="s">
        <v>13</v>
      </c>
      <c r="C7" s="75">
        <v>7.9</v>
      </c>
      <c r="D7" s="76">
        <v>9.77</v>
      </c>
      <c r="E7" s="76">
        <v>11.93</v>
      </c>
      <c r="F7" s="76">
        <v>15.05</v>
      </c>
      <c r="G7" s="76">
        <v>20.96</v>
      </c>
      <c r="H7" s="76">
        <v>6.4</v>
      </c>
      <c r="I7" s="76">
        <v>8.3</v>
      </c>
      <c r="J7" s="76">
        <v>10.5</v>
      </c>
      <c r="K7" s="76">
        <v>14</v>
      </c>
      <c r="L7" s="76">
        <v>18.03</v>
      </c>
      <c r="M7" s="76">
        <v>5.53</v>
      </c>
      <c r="N7" s="76">
        <v>6.74</v>
      </c>
      <c r="O7" s="76">
        <v>8.23</v>
      </c>
      <c r="P7" s="76">
        <v>9.48</v>
      </c>
      <c r="Q7" s="77">
        <v>15.93</v>
      </c>
      <c r="S7" s="75">
        <v>7.85</v>
      </c>
      <c r="T7" s="76">
        <v>10</v>
      </c>
      <c r="U7" s="76">
        <v>5.5</v>
      </c>
      <c r="V7" s="76">
        <v>6.9</v>
      </c>
      <c r="W7" s="76">
        <v>3.85</v>
      </c>
      <c r="X7" s="77">
        <v>5.2</v>
      </c>
      <c r="Z7" s="75">
        <v>6.24</v>
      </c>
      <c r="AA7" s="76">
        <v>7.52</v>
      </c>
      <c r="AB7" s="76">
        <v>10.02</v>
      </c>
      <c r="AC7" s="76">
        <v>13.24</v>
      </c>
      <c r="AD7" s="76">
        <v>16.77</v>
      </c>
      <c r="AE7" s="76">
        <v>5.5</v>
      </c>
      <c r="AF7" s="77">
        <v>6.9</v>
      </c>
      <c r="AH7" s="75">
        <v>9.6</v>
      </c>
      <c r="AI7" s="76">
        <v>14</v>
      </c>
      <c r="AJ7" s="76">
        <v>22</v>
      </c>
      <c r="AK7" s="76">
        <v>22</v>
      </c>
      <c r="AL7" s="76">
        <v>30</v>
      </c>
      <c r="AM7" s="76">
        <v>7.9</v>
      </c>
      <c r="AN7" s="77">
        <v>8.7</v>
      </c>
    </row>
    <row r="8" spans="1:40" ht="15">
      <c r="A8" s="289"/>
      <c r="B8" s="45" t="s">
        <v>14</v>
      </c>
      <c r="C8" s="66">
        <f>50+6.5</f>
        <v>56.5</v>
      </c>
      <c r="D8" s="67">
        <f aca="true" t="shared" si="0" ref="D8:G8">50+6.5</f>
        <v>56.5</v>
      </c>
      <c r="E8" s="67">
        <f t="shared" si="0"/>
        <v>56.5</v>
      </c>
      <c r="F8" s="67">
        <f t="shared" si="0"/>
        <v>56.5</v>
      </c>
      <c r="G8" s="67">
        <f t="shared" si="0"/>
        <v>56.5</v>
      </c>
      <c r="H8" s="67">
        <f>20+6.5</f>
        <v>26.5</v>
      </c>
      <c r="I8" s="67">
        <f aca="true" t="shared" si="1" ref="I8:L8">20+6.5</f>
        <v>26.5</v>
      </c>
      <c r="J8" s="67">
        <f t="shared" si="1"/>
        <v>26.5</v>
      </c>
      <c r="K8" s="67">
        <f t="shared" si="1"/>
        <v>26.5</v>
      </c>
      <c r="L8" s="67">
        <f t="shared" si="1"/>
        <v>26.5</v>
      </c>
      <c r="M8" s="67">
        <v>0</v>
      </c>
      <c r="N8" s="67">
        <v>0</v>
      </c>
      <c r="O8" s="67">
        <v>0</v>
      </c>
      <c r="P8" s="67">
        <v>0</v>
      </c>
      <c r="Q8" s="68">
        <v>0</v>
      </c>
      <c r="S8" s="66">
        <f>50+6.5</f>
        <v>56.5</v>
      </c>
      <c r="T8" s="67">
        <f>50+6.5</f>
        <v>56.5</v>
      </c>
      <c r="U8" s="67">
        <f>20+6.5</f>
        <v>26.5</v>
      </c>
      <c r="V8" s="67">
        <f>20+6.5</f>
        <v>26.5</v>
      </c>
      <c r="W8" s="67">
        <v>0</v>
      </c>
      <c r="X8" s="68">
        <v>0</v>
      </c>
      <c r="Z8" s="66">
        <f>20+6.5</f>
        <v>26.5</v>
      </c>
      <c r="AA8" s="67">
        <f aca="true" t="shared" si="2" ref="AA8:AF8">20+6.5</f>
        <v>26.5</v>
      </c>
      <c r="AB8" s="67">
        <f t="shared" si="2"/>
        <v>26.5</v>
      </c>
      <c r="AC8" s="67">
        <f t="shared" si="2"/>
        <v>26.5</v>
      </c>
      <c r="AD8" s="67">
        <f t="shared" si="2"/>
        <v>26.5</v>
      </c>
      <c r="AE8" s="67">
        <f t="shared" si="2"/>
        <v>26.5</v>
      </c>
      <c r="AF8" s="68">
        <f t="shared" si="2"/>
        <v>26.5</v>
      </c>
      <c r="AH8" s="66">
        <v>53.4</v>
      </c>
      <c r="AI8" s="67">
        <v>53.4</v>
      </c>
      <c r="AJ8" s="67">
        <v>53.4</v>
      </c>
      <c r="AK8" s="67">
        <v>53.4</v>
      </c>
      <c r="AL8" s="67">
        <v>53.4</v>
      </c>
      <c r="AM8" s="67">
        <v>53.4</v>
      </c>
      <c r="AN8" s="68">
        <v>53.4</v>
      </c>
    </row>
    <row r="9" spans="1:40" ht="15" thickBot="1">
      <c r="A9" s="291"/>
      <c r="B9" s="46" t="s">
        <v>15</v>
      </c>
      <c r="C9" s="69">
        <f>C8/24</f>
        <v>2.3541666666666665</v>
      </c>
      <c r="D9" s="70">
        <f aca="true" t="shared" si="3" ref="D9:Q9">D8/24</f>
        <v>2.3541666666666665</v>
      </c>
      <c r="E9" s="70">
        <f t="shared" si="3"/>
        <v>2.3541666666666665</v>
      </c>
      <c r="F9" s="70">
        <f t="shared" si="3"/>
        <v>2.3541666666666665</v>
      </c>
      <c r="G9" s="70">
        <f t="shared" si="3"/>
        <v>2.3541666666666665</v>
      </c>
      <c r="H9" s="70">
        <f t="shared" si="3"/>
        <v>1.1041666666666667</v>
      </c>
      <c r="I9" s="70">
        <f t="shared" si="3"/>
        <v>1.1041666666666667</v>
      </c>
      <c r="J9" s="70">
        <f t="shared" si="3"/>
        <v>1.1041666666666667</v>
      </c>
      <c r="K9" s="70">
        <f t="shared" si="3"/>
        <v>1.1041666666666667</v>
      </c>
      <c r="L9" s="70">
        <f t="shared" si="3"/>
        <v>1.1041666666666667</v>
      </c>
      <c r="M9" s="70">
        <f t="shared" si="3"/>
        <v>0</v>
      </c>
      <c r="N9" s="70">
        <f t="shared" si="3"/>
        <v>0</v>
      </c>
      <c r="O9" s="70">
        <f t="shared" si="3"/>
        <v>0</v>
      </c>
      <c r="P9" s="70">
        <f t="shared" si="3"/>
        <v>0</v>
      </c>
      <c r="Q9" s="71">
        <f t="shared" si="3"/>
        <v>0</v>
      </c>
      <c r="S9" s="69">
        <f>S8/24</f>
        <v>2.3541666666666665</v>
      </c>
      <c r="T9" s="70">
        <f aca="true" t="shared" si="4" ref="T9">T8/24</f>
        <v>2.3541666666666665</v>
      </c>
      <c r="U9" s="70">
        <f>U8/24</f>
        <v>1.1041666666666667</v>
      </c>
      <c r="V9" s="70">
        <f aca="true" t="shared" si="5" ref="V9:X9">V8/24</f>
        <v>1.1041666666666667</v>
      </c>
      <c r="W9" s="70">
        <f t="shared" si="5"/>
        <v>0</v>
      </c>
      <c r="X9" s="71">
        <f t="shared" si="5"/>
        <v>0</v>
      </c>
      <c r="Z9" s="69">
        <f aca="true" t="shared" si="6" ref="Z9:AD9">Z8/24</f>
        <v>1.1041666666666667</v>
      </c>
      <c r="AA9" s="70">
        <f t="shared" si="6"/>
        <v>1.1041666666666667</v>
      </c>
      <c r="AB9" s="70">
        <f t="shared" si="6"/>
        <v>1.1041666666666667</v>
      </c>
      <c r="AC9" s="70">
        <f t="shared" si="6"/>
        <v>1.1041666666666667</v>
      </c>
      <c r="AD9" s="70">
        <f t="shared" si="6"/>
        <v>1.1041666666666667</v>
      </c>
      <c r="AE9" s="70">
        <f>AE8/24</f>
        <v>1.1041666666666667</v>
      </c>
      <c r="AF9" s="71">
        <f aca="true" t="shared" si="7" ref="AF9">AF8/24</f>
        <v>1.1041666666666667</v>
      </c>
      <c r="AH9" s="69">
        <f>AH8/AH11</f>
        <v>0.89</v>
      </c>
      <c r="AI9" s="70">
        <f aca="true" t="shared" si="8" ref="AI9:AN9">AI8/AI11</f>
        <v>0.89</v>
      </c>
      <c r="AJ9" s="70">
        <f t="shared" si="8"/>
        <v>0.89</v>
      </c>
      <c r="AK9" s="70">
        <f t="shared" si="8"/>
        <v>0.89</v>
      </c>
      <c r="AL9" s="70">
        <f t="shared" si="8"/>
        <v>0.89</v>
      </c>
      <c r="AM9" s="70">
        <f t="shared" si="8"/>
        <v>0.89</v>
      </c>
      <c r="AN9" s="71">
        <f t="shared" si="8"/>
        <v>0.89</v>
      </c>
    </row>
    <row r="10" spans="1:40" ht="14.4" customHeight="1" thickBot="1" thickTop="1">
      <c r="A10" s="303" t="s">
        <v>2</v>
      </c>
      <c r="B10" s="304"/>
      <c r="C10" s="305"/>
      <c r="D10" s="305"/>
      <c r="E10" s="305"/>
      <c r="F10" s="305"/>
      <c r="G10" s="305"/>
      <c r="H10" s="305"/>
      <c r="I10" s="305"/>
      <c r="J10" s="305"/>
      <c r="K10" s="305"/>
      <c r="L10" s="305"/>
      <c r="M10" s="305"/>
      <c r="N10" s="305"/>
      <c r="O10" s="305"/>
      <c r="P10" s="305"/>
      <c r="Q10" s="305"/>
      <c r="R10" s="297"/>
      <c r="S10" s="305"/>
      <c r="T10" s="305"/>
      <c r="U10" s="305"/>
      <c r="V10" s="305"/>
      <c r="W10" s="305"/>
      <c r="X10" s="305"/>
      <c r="Y10" s="297"/>
      <c r="Z10" s="305"/>
      <c r="AA10" s="305"/>
      <c r="AB10" s="305"/>
      <c r="AC10" s="305"/>
      <c r="AD10" s="305"/>
      <c r="AE10" s="305"/>
      <c r="AF10" s="305"/>
      <c r="AG10" s="297"/>
      <c r="AH10" s="305"/>
      <c r="AI10" s="305"/>
      <c r="AJ10" s="305"/>
      <c r="AK10" s="305"/>
      <c r="AL10" s="305"/>
      <c r="AM10" s="305"/>
      <c r="AN10" s="306"/>
    </row>
    <row r="11" spans="1:40" ht="15.6" thickBot="1" thickTop="1">
      <c r="A11" s="15">
        <v>2</v>
      </c>
      <c r="B11" s="91" t="s">
        <v>3</v>
      </c>
      <c r="C11" s="92">
        <v>24</v>
      </c>
      <c r="D11" s="93">
        <v>24</v>
      </c>
      <c r="E11" s="93">
        <v>24</v>
      </c>
      <c r="F11" s="93">
        <v>24</v>
      </c>
      <c r="G11" s="93">
        <v>24</v>
      </c>
      <c r="H11" s="93">
        <v>24</v>
      </c>
      <c r="I11" s="93">
        <v>24</v>
      </c>
      <c r="J11" s="93">
        <v>24</v>
      </c>
      <c r="K11" s="93">
        <v>24</v>
      </c>
      <c r="L11" s="93">
        <v>24</v>
      </c>
      <c r="M11" s="93">
        <v>24</v>
      </c>
      <c r="N11" s="93">
        <v>24</v>
      </c>
      <c r="O11" s="93">
        <v>24</v>
      </c>
      <c r="P11" s="93">
        <v>24</v>
      </c>
      <c r="Q11" s="94">
        <v>24</v>
      </c>
      <c r="S11" s="92">
        <v>24</v>
      </c>
      <c r="T11" s="93">
        <v>24</v>
      </c>
      <c r="U11" s="93">
        <v>24</v>
      </c>
      <c r="V11" s="93">
        <v>24</v>
      </c>
      <c r="W11" s="93">
        <v>24</v>
      </c>
      <c r="X11" s="94">
        <v>24</v>
      </c>
      <c r="Z11" s="92">
        <v>24</v>
      </c>
      <c r="AA11" s="93">
        <v>24</v>
      </c>
      <c r="AB11" s="93">
        <v>24</v>
      </c>
      <c r="AC11" s="93">
        <v>24</v>
      </c>
      <c r="AD11" s="93">
        <v>24</v>
      </c>
      <c r="AE11" s="93">
        <v>24</v>
      </c>
      <c r="AF11" s="94">
        <v>24</v>
      </c>
      <c r="AH11" s="148">
        <v>60</v>
      </c>
      <c r="AI11" s="149">
        <v>60</v>
      </c>
      <c r="AJ11" s="149">
        <v>60</v>
      </c>
      <c r="AK11" s="149">
        <v>60</v>
      </c>
      <c r="AL11" s="149">
        <v>60</v>
      </c>
      <c r="AM11" s="149">
        <v>60</v>
      </c>
      <c r="AN11" s="150">
        <v>60</v>
      </c>
    </row>
    <row r="12" spans="1:40" ht="15.6" thickBot="1" thickTop="1">
      <c r="A12" s="7">
        <v>3</v>
      </c>
      <c r="B12" s="25" t="s">
        <v>4</v>
      </c>
      <c r="C12" s="95">
        <f>+Įvadas!$N$32</f>
        <v>978.2073560121253</v>
      </c>
      <c r="D12" s="96">
        <f>+C12</f>
        <v>978.2073560121253</v>
      </c>
      <c r="E12" s="96">
        <f aca="true" t="shared" si="9" ref="E12:Q12">+D12</f>
        <v>978.2073560121253</v>
      </c>
      <c r="F12" s="96">
        <f t="shared" si="9"/>
        <v>978.2073560121253</v>
      </c>
      <c r="G12" s="96">
        <f t="shared" si="9"/>
        <v>978.2073560121253</v>
      </c>
      <c r="H12" s="96">
        <f t="shared" si="9"/>
        <v>978.2073560121253</v>
      </c>
      <c r="I12" s="96">
        <f t="shared" si="9"/>
        <v>978.2073560121253</v>
      </c>
      <c r="J12" s="96">
        <f t="shared" si="9"/>
        <v>978.2073560121253</v>
      </c>
      <c r="K12" s="96">
        <f t="shared" si="9"/>
        <v>978.2073560121253</v>
      </c>
      <c r="L12" s="96">
        <f t="shared" si="9"/>
        <v>978.2073560121253</v>
      </c>
      <c r="M12" s="96">
        <f t="shared" si="9"/>
        <v>978.2073560121253</v>
      </c>
      <c r="N12" s="96">
        <f t="shared" si="9"/>
        <v>978.2073560121253</v>
      </c>
      <c r="O12" s="96">
        <f t="shared" si="9"/>
        <v>978.2073560121253</v>
      </c>
      <c r="P12" s="96">
        <f t="shared" si="9"/>
        <v>978.2073560121253</v>
      </c>
      <c r="Q12" s="97">
        <f t="shared" si="9"/>
        <v>978.2073560121253</v>
      </c>
      <c r="S12" s="95">
        <f>+Q12</f>
        <v>978.2073560121253</v>
      </c>
      <c r="T12" s="96">
        <f>+C12</f>
        <v>978.2073560121253</v>
      </c>
      <c r="U12" s="96">
        <f aca="true" t="shared" si="10" ref="U12:X12">+D12</f>
        <v>978.2073560121253</v>
      </c>
      <c r="V12" s="96">
        <f t="shared" si="10"/>
        <v>978.2073560121253</v>
      </c>
      <c r="W12" s="96">
        <f t="shared" si="10"/>
        <v>978.2073560121253</v>
      </c>
      <c r="X12" s="97">
        <f t="shared" si="10"/>
        <v>978.2073560121253</v>
      </c>
      <c r="Z12" s="95">
        <f>+C12</f>
        <v>978.2073560121253</v>
      </c>
      <c r="AA12" s="96">
        <f>+C12</f>
        <v>978.2073560121253</v>
      </c>
      <c r="AB12" s="96">
        <f aca="true" t="shared" si="11" ref="AB12:AF12">+D12</f>
        <v>978.2073560121253</v>
      </c>
      <c r="AC12" s="96">
        <f t="shared" si="11"/>
        <v>978.2073560121253</v>
      </c>
      <c r="AD12" s="96">
        <f t="shared" si="11"/>
        <v>978.2073560121253</v>
      </c>
      <c r="AE12" s="96">
        <f t="shared" si="11"/>
        <v>978.2073560121253</v>
      </c>
      <c r="AF12" s="97">
        <f t="shared" si="11"/>
        <v>978.2073560121253</v>
      </c>
      <c r="AH12" s="95">
        <f>+C12</f>
        <v>978.2073560121253</v>
      </c>
      <c r="AI12" s="96">
        <f>+C12</f>
        <v>978.2073560121253</v>
      </c>
      <c r="AJ12" s="96">
        <f aca="true" t="shared" si="12" ref="AJ12:AN12">+D12</f>
        <v>978.2073560121253</v>
      </c>
      <c r="AK12" s="96">
        <f t="shared" si="12"/>
        <v>978.2073560121253</v>
      </c>
      <c r="AL12" s="96">
        <f t="shared" si="12"/>
        <v>978.2073560121253</v>
      </c>
      <c r="AM12" s="96">
        <f t="shared" si="12"/>
        <v>978.2073560121253</v>
      </c>
      <c r="AN12" s="97">
        <f t="shared" si="12"/>
        <v>978.2073560121253</v>
      </c>
    </row>
    <row r="13" spans="1:40" ht="15" thickTop="1">
      <c r="A13" s="7">
        <v>4</v>
      </c>
      <c r="B13" s="98" t="s">
        <v>16</v>
      </c>
      <c r="C13" s="99"/>
      <c r="D13" s="100"/>
      <c r="E13" s="100"/>
      <c r="F13" s="100"/>
      <c r="G13" s="100"/>
      <c r="H13" s="100"/>
      <c r="I13" s="100"/>
      <c r="J13" s="100"/>
      <c r="K13" s="100"/>
      <c r="L13" s="100"/>
      <c r="M13" s="100"/>
      <c r="N13" s="100"/>
      <c r="O13" s="100"/>
      <c r="P13" s="100"/>
      <c r="Q13" s="101"/>
      <c r="S13" s="99"/>
      <c r="T13" s="100"/>
      <c r="U13" s="100"/>
      <c r="V13" s="100"/>
      <c r="W13" s="100"/>
      <c r="X13" s="101"/>
      <c r="Z13" s="99"/>
      <c r="AA13" s="100"/>
      <c r="AB13" s="100"/>
      <c r="AC13" s="100"/>
      <c r="AD13" s="100"/>
      <c r="AE13" s="100"/>
      <c r="AF13" s="101"/>
      <c r="AH13" s="99"/>
      <c r="AI13" s="100"/>
      <c r="AJ13" s="100"/>
      <c r="AK13" s="100"/>
      <c r="AL13" s="100"/>
      <c r="AM13" s="100"/>
      <c r="AN13" s="101"/>
    </row>
    <row r="14" spans="1:40" ht="15">
      <c r="A14" s="7">
        <v>5</v>
      </c>
      <c r="B14" s="98" t="s">
        <v>18</v>
      </c>
      <c r="C14" s="102">
        <v>0.154</v>
      </c>
      <c r="D14" s="27">
        <v>0.154</v>
      </c>
      <c r="E14" s="27">
        <v>0.154</v>
      </c>
      <c r="F14" s="27">
        <v>0.154</v>
      </c>
      <c r="G14" s="27">
        <v>0.154</v>
      </c>
      <c r="H14" s="27">
        <v>0.154</v>
      </c>
      <c r="I14" s="27">
        <v>0.154</v>
      </c>
      <c r="J14" s="27">
        <v>0.154</v>
      </c>
      <c r="K14" s="27">
        <v>0.154</v>
      </c>
      <c r="L14" s="27">
        <v>0.154</v>
      </c>
      <c r="M14" s="27">
        <v>0.154</v>
      </c>
      <c r="N14" s="27">
        <v>0.154</v>
      </c>
      <c r="O14" s="27">
        <v>0.154</v>
      </c>
      <c r="P14" s="27">
        <v>0.154</v>
      </c>
      <c r="Q14" s="103">
        <v>0.154</v>
      </c>
      <c r="S14" s="102">
        <v>0.154</v>
      </c>
      <c r="T14" s="27">
        <v>0.154</v>
      </c>
      <c r="U14" s="27">
        <v>0.154</v>
      </c>
      <c r="V14" s="27">
        <v>0.154</v>
      </c>
      <c r="W14" s="27">
        <v>0.154</v>
      </c>
      <c r="X14" s="103">
        <v>0.154</v>
      </c>
      <c r="Z14" s="102">
        <v>0.154</v>
      </c>
      <c r="AA14" s="27">
        <v>0.154</v>
      </c>
      <c r="AB14" s="27">
        <v>0.154</v>
      </c>
      <c r="AC14" s="27">
        <v>0.154</v>
      </c>
      <c r="AD14" s="27">
        <v>0.154</v>
      </c>
      <c r="AE14" s="27">
        <v>0.154</v>
      </c>
      <c r="AF14" s="103">
        <v>0.154</v>
      </c>
      <c r="AH14" s="102">
        <v>0.154</v>
      </c>
      <c r="AI14" s="27">
        <v>0.154</v>
      </c>
      <c r="AJ14" s="27">
        <v>0.154</v>
      </c>
      <c r="AK14" s="27">
        <v>0.154</v>
      </c>
      <c r="AL14" s="27">
        <v>0.154</v>
      </c>
      <c r="AM14" s="27">
        <v>0.154</v>
      </c>
      <c r="AN14" s="103">
        <v>0.154</v>
      </c>
    </row>
    <row r="15" spans="1:40" ht="15">
      <c r="A15" s="7">
        <v>6</v>
      </c>
      <c r="B15" s="98" t="s">
        <v>19</v>
      </c>
      <c r="C15" s="104">
        <v>0.129</v>
      </c>
      <c r="D15" s="28">
        <v>0.129</v>
      </c>
      <c r="E15" s="28">
        <v>0.129</v>
      </c>
      <c r="F15" s="28">
        <v>0.129</v>
      </c>
      <c r="G15" s="28">
        <v>0.129</v>
      </c>
      <c r="H15" s="28">
        <v>0.129</v>
      </c>
      <c r="I15" s="28">
        <v>0.129</v>
      </c>
      <c r="J15" s="28">
        <v>0.129</v>
      </c>
      <c r="K15" s="28">
        <v>0.129</v>
      </c>
      <c r="L15" s="28">
        <v>0.129</v>
      </c>
      <c r="M15" s="28">
        <v>0.129</v>
      </c>
      <c r="N15" s="28">
        <v>0.129</v>
      </c>
      <c r="O15" s="28">
        <v>0.129</v>
      </c>
      <c r="P15" s="28">
        <v>0.129</v>
      </c>
      <c r="Q15" s="105">
        <v>0.129</v>
      </c>
      <c r="S15" s="104">
        <v>0.129</v>
      </c>
      <c r="T15" s="28">
        <v>0.129</v>
      </c>
      <c r="U15" s="28">
        <v>0.129</v>
      </c>
      <c r="V15" s="28">
        <v>0.129</v>
      </c>
      <c r="W15" s="28">
        <v>0.129</v>
      </c>
      <c r="X15" s="105">
        <v>0.129</v>
      </c>
      <c r="Z15" s="104">
        <v>0.129</v>
      </c>
      <c r="AA15" s="28">
        <v>0.129</v>
      </c>
      <c r="AB15" s="28">
        <v>0.129</v>
      </c>
      <c r="AC15" s="28">
        <v>0.129</v>
      </c>
      <c r="AD15" s="28">
        <v>0.129</v>
      </c>
      <c r="AE15" s="28">
        <v>0.129</v>
      </c>
      <c r="AF15" s="105">
        <v>0.129</v>
      </c>
      <c r="AH15" s="104">
        <v>0.129</v>
      </c>
      <c r="AI15" s="28">
        <v>0.129</v>
      </c>
      <c r="AJ15" s="28">
        <v>0.129</v>
      </c>
      <c r="AK15" s="28">
        <v>0.129</v>
      </c>
      <c r="AL15" s="28">
        <v>0.129</v>
      </c>
      <c r="AM15" s="28">
        <v>0.129</v>
      </c>
      <c r="AN15" s="105">
        <v>0.129</v>
      </c>
    </row>
    <row r="16" spans="1:40" ht="15">
      <c r="A16" s="289">
        <v>7</v>
      </c>
      <c r="B16" s="307" t="s">
        <v>20</v>
      </c>
      <c r="C16" s="106"/>
      <c r="D16" s="26"/>
      <c r="E16" s="26"/>
      <c r="F16" s="26"/>
      <c r="G16" s="26"/>
      <c r="H16" s="26"/>
      <c r="I16" s="26"/>
      <c r="J16" s="26"/>
      <c r="K16" s="26"/>
      <c r="L16" s="26"/>
      <c r="M16" s="26"/>
      <c r="N16" s="26"/>
      <c r="O16" s="26"/>
      <c r="P16" s="26"/>
      <c r="Q16" s="107"/>
      <c r="S16" s="106"/>
      <c r="T16" s="26"/>
      <c r="U16" s="26"/>
      <c r="V16" s="26"/>
      <c r="W16" s="26"/>
      <c r="X16" s="107"/>
      <c r="Z16" s="106"/>
      <c r="AA16" s="26"/>
      <c r="AB16" s="26"/>
      <c r="AC16" s="26"/>
      <c r="AD16" s="26"/>
      <c r="AE16" s="26"/>
      <c r="AF16" s="107"/>
      <c r="AH16" s="106"/>
      <c r="AI16" s="26"/>
      <c r="AJ16" s="26"/>
      <c r="AK16" s="26"/>
      <c r="AL16" s="26"/>
      <c r="AM16" s="26"/>
      <c r="AN16" s="107"/>
    </row>
    <row r="17" spans="1:40" ht="15" thickBot="1">
      <c r="A17" s="289"/>
      <c r="B17" s="307"/>
      <c r="C17" s="108"/>
      <c r="D17" s="109"/>
      <c r="E17" s="109"/>
      <c r="F17" s="109"/>
      <c r="G17" s="109"/>
      <c r="H17" s="109"/>
      <c r="I17" s="109"/>
      <c r="J17" s="109"/>
      <c r="K17" s="109"/>
      <c r="L17" s="109"/>
      <c r="M17" s="109"/>
      <c r="N17" s="109"/>
      <c r="O17" s="109"/>
      <c r="P17" s="109"/>
      <c r="Q17" s="110"/>
      <c r="S17" s="108"/>
      <c r="T17" s="109"/>
      <c r="U17" s="109"/>
      <c r="V17" s="109"/>
      <c r="W17" s="109"/>
      <c r="X17" s="110"/>
      <c r="Z17" s="108"/>
      <c r="AA17" s="109"/>
      <c r="AB17" s="109"/>
      <c r="AC17" s="109"/>
      <c r="AD17" s="109"/>
      <c r="AE17" s="109"/>
      <c r="AF17" s="110"/>
      <c r="AH17" s="108"/>
      <c r="AI17" s="109"/>
      <c r="AJ17" s="109"/>
      <c r="AK17" s="109"/>
      <c r="AL17" s="109"/>
      <c r="AM17" s="109"/>
      <c r="AN17" s="110"/>
    </row>
    <row r="18" spans="1:40" ht="15.6" thickBot="1" thickTop="1">
      <c r="A18" s="7"/>
      <c r="B18" s="25" t="s">
        <v>21</v>
      </c>
      <c r="C18" s="112" t="e">
        <f>C12*C5/C13/1000</f>
        <v>#DIV/0!</v>
      </c>
      <c r="D18" s="113" t="e">
        <f aca="true" t="shared" si="13" ref="D18:Q18">D12*D5/D13/1000</f>
        <v>#DIV/0!</v>
      </c>
      <c r="E18" s="113" t="e">
        <f t="shared" si="13"/>
        <v>#DIV/0!</v>
      </c>
      <c r="F18" s="113" t="e">
        <f t="shared" si="13"/>
        <v>#DIV/0!</v>
      </c>
      <c r="G18" s="113" t="e">
        <f t="shared" si="13"/>
        <v>#DIV/0!</v>
      </c>
      <c r="H18" s="113" t="e">
        <f t="shared" si="13"/>
        <v>#DIV/0!</v>
      </c>
      <c r="I18" s="113" t="e">
        <f t="shared" si="13"/>
        <v>#DIV/0!</v>
      </c>
      <c r="J18" s="113" t="e">
        <f t="shared" si="13"/>
        <v>#DIV/0!</v>
      </c>
      <c r="K18" s="113" t="e">
        <f t="shared" si="13"/>
        <v>#DIV/0!</v>
      </c>
      <c r="L18" s="113" t="e">
        <f t="shared" si="13"/>
        <v>#DIV/0!</v>
      </c>
      <c r="M18" s="113" t="e">
        <f t="shared" si="13"/>
        <v>#DIV/0!</v>
      </c>
      <c r="N18" s="113" t="e">
        <f t="shared" si="13"/>
        <v>#DIV/0!</v>
      </c>
      <c r="O18" s="113" t="e">
        <f t="shared" si="13"/>
        <v>#DIV/0!</v>
      </c>
      <c r="P18" s="113" t="e">
        <f t="shared" si="13"/>
        <v>#DIV/0!</v>
      </c>
      <c r="Q18" s="114" t="e">
        <f t="shared" si="13"/>
        <v>#DIV/0!</v>
      </c>
      <c r="S18" s="112" t="e">
        <f>S12*S5/S13/1000</f>
        <v>#DIV/0!</v>
      </c>
      <c r="T18" s="113" t="e">
        <f aca="true" t="shared" si="14" ref="T18:X18">T12*T5/T13/1000</f>
        <v>#DIV/0!</v>
      </c>
      <c r="U18" s="113" t="e">
        <f t="shared" si="14"/>
        <v>#DIV/0!</v>
      </c>
      <c r="V18" s="113" t="e">
        <f t="shared" si="14"/>
        <v>#DIV/0!</v>
      </c>
      <c r="W18" s="113" t="e">
        <f t="shared" si="14"/>
        <v>#DIV/0!</v>
      </c>
      <c r="X18" s="114" t="e">
        <f t="shared" si="14"/>
        <v>#DIV/0!</v>
      </c>
      <c r="Z18" s="112" t="e">
        <f aca="true" t="shared" si="15" ref="Z18:AC18">Z12*Z5/Z13/1000</f>
        <v>#DIV/0!</v>
      </c>
      <c r="AA18" s="113" t="e">
        <f t="shared" si="15"/>
        <v>#DIV/0!</v>
      </c>
      <c r="AB18" s="113" t="e">
        <f t="shared" si="15"/>
        <v>#DIV/0!</v>
      </c>
      <c r="AC18" s="113" t="e">
        <f t="shared" si="15"/>
        <v>#DIV/0!</v>
      </c>
      <c r="AD18" s="113" t="e">
        <f>AD12*AD5/AD13/1000</f>
        <v>#DIV/0!</v>
      </c>
      <c r="AE18" s="113" t="e">
        <f aca="true" t="shared" si="16" ref="AE18:AF18">AE12*AE5/AE13/1000</f>
        <v>#DIV/0!</v>
      </c>
      <c r="AF18" s="114" t="e">
        <f t="shared" si="16"/>
        <v>#DIV/0!</v>
      </c>
      <c r="AH18" s="112" t="e">
        <f aca="true" t="shared" si="17" ref="AH18:AN18">AH12*AH5/AH13/1000</f>
        <v>#DIV/0!</v>
      </c>
      <c r="AI18" s="113" t="e">
        <f t="shared" si="17"/>
        <v>#DIV/0!</v>
      </c>
      <c r="AJ18" s="113" t="e">
        <f t="shared" si="17"/>
        <v>#DIV/0!</v>
      </c>
      <c r="AK18" s="113" t="e">
        <f t="shared" si="17"/>
        <v>#DIV/0!</v>
      </c>
      <c r="AL18" s="113" t="e">
        <f t="shared" si="17"/>
        <v>#DIV/0!</v>
      </c>
      <c r="AM18" s="113" t="e">
        <f t="shared" si="17"/>
        <v>#DIV/0!</v>
      </c>
      <c r="AN18" s="114" t="e">
        <f t="shared" si="17"/>
        <v>#DIV/0!</v>
      </c>
    </row>
    <row r="19" spans="1:40" ht="15" thickTop="1">
      <c r="A19" s="7"/>
      <c r="B19" s="98" t="s">
        <v>23</v>
      </c>
      <c r="C19" s="115">
        <v>59</v>
      </c>
      <c r="D19" s="116">
        <v>59</v>
      </c>
      <c r="E19" s="116">
        <v>77</v>
      </c>
      <c r="F19" s="116">
        <v>77</v>
      </c>
      <c r="G19" s="116">
        <v>130</v>
      </c>
      <c r="H19" s="116">
        <v>59</v>
      </c>
      <c r="I19" s="116">
        <v>59</v>
      </c>
      <c r="J19" s="116">
        <v>77</v>
      </c>
      <c r="K19" s="116">
        <v>77</v>
      </c>
      <c r="L19" s="116">
        <v>130</v>
      </c>
      <c r="M19" s="116">
        <v>59</v>
      </c>
      <c r="N19" s="116">
        <v>59</v>
      </c>
      <c r="O19" s="116">
        <v>94</v>
      </c>
      <c r="P19" s="116">
        <v>77</v>
      </c>
      <c r="Q19" s="117">
        <v>130</v>
      </c>
      <c r="S19" s="141">
        <v>42</v>
      </c>
      <c r="T19" s="142">
        <v>59</v>
      </c>
      <c r="U19" s="142">
        <v>42</v>
      </c>
      <c r="V19" s="142">
        <v>59</v>
      </c>
      <c r="W19" s="142">
        <v>42</v>
      </c>
      <c r="X19" s="143">
        <v>59</v>
      </c>
      <c r="Z19" s="115">
        <v>59</v>
      </c>
      <c r="AA19" s="116">
        <v>59</v>
      </c>
      <c r="AB19" s="116">
        <v>77</v>
      </c>
      <c r="AC19" s="116">
        <v>77</v>
      </c>
      <c r="AD19" s="116">
        <v>130</v>
      </c>
      <c r="AE19" s="142">
        <v>42</v>
      </c>
      <c r="AF19" s="143">
        <v>59</v>
      </c>
      <c r="AH19" s="115">
        <v>42</v>
      </c>
      <c r="AI19" s="116">
        <v>77</v>
      </c>
      <c r="AJ19" s="116">
        <v>130</v>
      </c>
      <c r="AK19" s="116">
        <v>200</v>
      </c>
      <c r="AL19" s="116">
        <v>130</v>
      </c>
      <c r="AM19" s="116" t="e">
        <f>IF(AM18&lt;1,42,IF(AND(AM18&gt;MIN(#REF!),AM18&lt;MAX($N$1)),59,IF(AM18&gt;2,77)))</f>
        <v>#DIV/0!</v>
      </c>
      <c r="AN19" s="117">
        <v>59</v>
      </c>
    </row>
    <row r="20" spans="1:40" ht="27.6">
      <c r="A20" s="7">
        <v>8</v>
      </c>
      <c r="B20" s="98" t="s">
        <v>24</v>
      </c>
      <c r="C20" s="102"/>
      <c r="D20" s="27"/>
      <c r="E20" s="27"/>
      <c r="F20" s="27"/>
      <c r="G20" s="27"/>
      <c r="H20" s="27"/>
      <c r="I20" s="27"/>
      <c r="J20" s="27"/>
      <c r="K20" s="27"/>
      <c r="L20" s="27"/>
      <c r="M20" s="27"/>
      <c r="N20" s="27"/>
      <c r="O20" s="27"/>
      <c r="P20" s="27"/>
      <c r="Q20" s="103"/>
      <c r="S20" s="102"/>
      <c r="T20" s="27"/>
      <c r="U20" s="27"/>
      <c r="V20" s="27"/>
      <c r="W20" s="27"/>
      <c r="X20" s="103"/>
      <c r="Z20" s="102"/>
      <c r="AA20" s="27"/>
      <c r="AB20" s="27"/>
      <c r="AC20" s="27"/>
      <c r="AD20" s="27"/>
      <c r="AE20" s="27"/>
      <c r="AF20" s="103"/>
      <c r="AH20" s="151"/>
      <c r="AI20" s="29"/>
      <c r="AJ20" s="29"/>
      <c r="AK20" s="29"/>
      <c r="AL20" s="29"/>
      <c r="AM20" s="29"/>
      <c r="AN20" s="152"/>
    </row>
    <row r="21" spans="1:40" ht="15">
      <c r="A21" s="7">
        <v>9</v>
      </c>
      <c r="B21" s="98" t="s">
        <v>25</v>
      </c>
      <c r="C21" s="102">
        <v>3</v>
      </c>
      <c r="D21" s="27">
        <v>3</v>
      </c>
      <c r="E21" s="27">
        <v>3</v>
      </c>
      <c r="F21" s="27">
        <v>3</v>
      </c>
      <c r="G21" s="27">
        <v>3</v>
      </c>
      <c r="H21" s="27">
        <v>3</v>
      </c>
      <c r="I21" s="27">
        <v>3</v>
      </c>
      <c r="J21" s="27">
        <v>3</v>
      </c>
      <c r="K21" s="27">
        <v>3</v>
      </c>
      <c r="L21" s="27">
        <v>3</v>
      </c>
      <c r="M21" s="27">
        <v>3</v>
      </c>
      <c r="N21" s="27">
        <v>3</v>
      </c>
      <c r="O21" s="27">
        <v>3</v>
      </c>
      <c r="P21" s="27">
        <v>3</v>
      </c>
      <c r="Q21" s="103">
        <v>3</v>
      </c>
      <c r="S21" s="102">
        <v>3</v>
      </c>
      <c r="T21" s="27">
        <v>3</v>
      </c>
      <c r="U21" s="27">
        <v>3</v>
      </c>
      <c r="V21" s="27">
        <v>3</v>
      </c>
      <c r="W21" s="27">
        <v>3</v>
      </c>
      <c r="X21" s="103">
        <v>3</v>
      </c>
      <c r="Z21" s="102">
        <v>3</v>
      </c>
      <c r="AA21" s="27">
        <v>3</v>
      </c>
      <c r="AB21" s="27">
        <v>3</v>
      </c>
      <c r="AC21" s="27">
        <v>3</v>
      </c>
      <c r="AD21" s="27">
        <v>3</v>
      </c>
      <c r="AE21" s="27">
        <v>3</v>
      </c>
      <c r="AF21" s="103">
        <v>3</v>
      </c>
      <c r="AH21" s="102">
        <v>3</v>
      </c>
      <c r="AI21" s="27">
        <v>3</v>
      </c>
      <c r="AJ21" s="27">
        <v>3</v>
      </c>
      <c r="AK21" s="27">
        <v>3</v>
      </c>
      <c r="AL21" s="27">
        <v>3</v>
      </c>
      <c r="AM21" s="27">
        <v>3</v>
      </c>
      <c r="AN21" s="103">
        <v>3</v>
      </c>
    </row>
    <row r="22" spans="1:40" ht="15" thickBot="1">
      <c r="A22" s="16">
        <v>10</v>
      </c>
      <c r="B22" s="111" t="s">
        <v>26</v>
      </c>
      <c r="C22" s="118"/>
      <c r="D22" s="119"/>
      <c r="E22" s="119"/>
      <c r="F22" s="119"/>
      <c r="G22" s="119"/>
      <c r="H22" s="119"/>
      <c r="I22" s="119"/>
      <c r="J22" s="119"/>
      <c r="K22" s="119"/>
      <c r="L22" s="119"/>
      <c r="M22" s="119"/>
      <c r="N22" s="119"/>
      <c r="O22" s="119"/>
      <c r="P22" s="119"/>
      <c r="Q22" s="120"/>
      <c r="S22" s="144"/>
      <c r="T22" s="145"/>
      <c r="U22" s="145"/>
      <c r="V22" s="145"/>
      <c r="W22" s="146"/>
      <c r="X22" s="147"/>
      <c r="Z22" s="118"/>
      <c r="AA22" s="119"/>
      <c r="AB22" s="119"/>
      <c r="AC22" s="119"/>
      <c r="AD22" s="119"/>
      <c r="AE22" s="119"/>
      <c r="AF22" s="120"/>
      <c r="AH22" s="118"/>
      <c r="AI22" s="119"/>
      <c r="AJ22" s="119"/>
      <c r="AK22" s="119"/>
      <c r="AL22" s="119"/>
      <c r="AM22" s="119"/>
      <c r="AN22" s="120"/>
    </row>
    <row r="23" spans="1:40" ht="14.4" customHeight="1" thickBot="1" thickTop="1">
      <c r="A23" s="303" t="s">
        <v>5</v>
      </c>
      <c r="B23" s="304"/>
      <c r="C23" s="304"/>
      <c r="D23" s="304"/>
      <c r="E23" s="304"/>
      <c r="F23" s="304"/>
      <c r="G23" s="304"/>
      <c r="H23" s="304"/>
      <c r="I23" s="304"/>
      <c r="J23" s="304"/>
      <c r="K23" s="304"/>
      <c r="L23" s="304"/>
      <c r="M23" s="304"/>
      <c r="N23" s="304"/>
      <c r="O23" s="304"/>
      <c r="P23" s="304"/>
      <c r="Q23" s="304"/>
      <c r="R23" s="297"/>
      <c r="S23" s="304"/>
      <c r="T23" s="304"/>
      <c r="U23" s="304"/>
      <c r="V23" s="304"/>
      <c r="W23" s="304"/>
      <c r="X23" s="304"/>
      <c r="Y23" s="297"/>
      <c r="Z23" s="304"/>
      <c r="AA23" s="304"/>
      <c r="AB23" s="304"/>
      <c r="AC23" s="304"/>
      <c r="AD23" s="304"/>
      <c r="AE23" s="304"/>
      <c r="AF23" s="304"/>
      <c r="AG23" s="297"/>
      <c r="AH23" s="304"/>
      <c r="AI23" s="304"/>
      <c r="AJ23" s="304"/>
      <c r="AK23" s="304"/>
      <c r="AL23" s="304"/>
      <c r="AM23" s="304"/>
      <c r="AN23" s="321"/>
    </row>
    <row r="24" spans="1:40" ht="15" thickTop="1">
      <c r="A24" s="290">
        <v>11</v>
      </c>
      <c r="B24" s="17" t="s">
        <v>27</v>
      </c>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3"/>
    </row>
    <row r="25" spans="1:40" ht="15">
      <c r="A25" s="289"/>
      <c r="B25" s="18" t="s">
        <v>28</v>
      </c>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3"/>
    </row>
    <row r="26" spans="1:40" ht="15">
      <c r="A26" s="289"/>
      <c r="B26" s="18" t="s">
        <v>29</v>
      </c>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3"/>
    </row>
    <row r="27" spans="1:40" ht="15">
      <c r="A27" s="289"/>
      <c r="B27" s="18" t="s">
        <v>30</v>
      </c>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3"/>
    </row>
    <row r="28" spans="1:40" ht="15">
      <c r="A28" s="289"/>
      <c r="B28" s="18" t="s">
        <v>31</v>
      </c>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3"/>
    </row>
    <row r="29" spans="1:40" ht="15" thickBot="1">
      <c r="A29" s="291"/>
      <c r="B29" s="19" t="s">
        <v>32</v>
      </c>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3"/>
    </row>
    <row r="30" spans="1:40" ht="14.4" customHeight="1" thickBot="1" thickTop="1">
      <c r="A30" s="303" t="s">
        <v>6</v>
      </c>
      <c r="B30" s="304"/>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8"/>
    </row>
    <row r="31" spans="1:40" ht="15" thickTop="1">
      <c r="A31" s="290">
        <v>12</v>
      </c>
      <c r="B31" s="6" t="s">
        <v>33</v>
      </c>
      <c r="C31" s="78" t="e">
        <f>C5/C13*C16*C14</f>
        <v>#DIV/0!</v>
      </c>
      <c r="D31" s="79" t="e">
        <f aca="true" t="shared" si="18" ref="D31:Q31">D5/D13*D16*D14</f>
        <v>#DIV/0!</v>
      </c>
      <c r="E31" s="79" t="e">
        <f t="shared" si="18"/>
        <v>#DIV/0!</v>
      </c>
      <c r="F31" s="79" t="e">
        <f t="shared" si="18"/>
        <v>#DIV/0!</v>
      </c>
      <c r="G31" s="79" t="e">
        <f t="shared" si="18"/>
        <v>#DIV/0!</v>
      </c>
      <c r="H31" s="79" t="e">
        <f t="shared" si="18"/>
        <v>#DIV/0!</v>
      </c>
      <c r="I31" s="79" t="e">
        <f t="shared" si="18"/>
        <v>#DIV/0!</v>
      </c>
      <c r="J31" s="79" t="e">
        <f t="shared" si="18"/>
        <v>#DIV/0!</v>
      </c>
      <c r="K31" s="79" t="e">
        <f t="shared" si="18"/>
        <v>#DIV/0!</v>
      </c>
      <c r="L31" s="79" t="e">
        <f t="shared" si="18"/>
        <v>#DIV/0!</v>
      </c>
      <c r="M31" s="79" t="e">
        <f t="shared" si="18"/>
        <v>#DIV/0!</v>
      </c>
      <c r="N31" s="79" t="e">
        <f t="shared" si="18"/>
        <v>#DIV/0!</v>
      </c>
      <c r="O31" s="79" t="e">
        <f t="shared" si="18"/>
        <v>#DIV/0!</v>
      </c>
      <c r="P31" s="79" t="e">
        <f t="shared" si="18"/>
        <v>#DIV/0!</v>
      </c>
      <c r="Q31" s="80" t="e">
        <f t="shared" si="18"/>
        <v>#DIV/0!</v>
      </c>
      <c r="S31" s="78" t="e">
        <f>S5/S13*S16*S14</f>
        <v>#DIV/0!</v>
      </c>
      <c r="T31" s="79" t="e">
        <f aca="true" t="shared" si="19" ref="T31:X31">T5/T13*T16*T14</f>
        <v>#DIV/0!</v>
      </c>
      <c r="U31" s="79" t="e">
        <f t="shared" si="19"/>
        <v>#DIV/0!</v>
      </c>
      <c r="V31" s="79" t="e">
        <f t="shared" si="19"/>
        <v>#DIV/0!</v>
      </c>
      <c r="W31" s="79" t="e">
        <f t="shared" si="19"/>
        <v>#DIV/0!</v>
      </c>
      <c r="X31" s="80" t="e">
        <f t="shared" si="19"/>
        <v>#DIV/0!</v>
      </c>
      <c r="Z31" s="78" t="e">
        <f aca="true" t="shared" si="20" ref="Z31:AF31">Z5/Z13*Z16*Z14</f>
        <v>#DIV/0!</v>
      </c>
      <c r="AA31" s="79" t="e">
        <f t="shared" si="20"/>
        <v>#DIV/0!</v>
      </c>
      <c r="AB31" s="79" t="e">
        <f t="shared" si="20"/>
        <v>#DIV/0!</v>
      </c>
      <c r="AC31" s="79" t="e">
        <f t="shared" si="20"/>
        <v>#DIV/0!</v>
      </c>
      <c r="AD31" s="79" t="e">
        <f t="shared" si="20"/>
        <v>#DIV/0!</v>
      </c>
      <c r="AE31" s="79" t="e">
        <f t="shared" si="20"/>
        <v>#DIV/0!</v>
      </c>
      <c r="AF31" s="80" t="e">
        <f t="shared" si="20"/>
        <v>#DIV/0!</v>
      </c>
      <c r="AH31" s="78" t="e">
        <f aca="true" t="shared" si="21" ref="AH31:AN31">AH5/AH13*AH16*AH14</f>
        <v>#DIV/0!</v>
      </c>
      <c r="AI31" s="79" t="e">
        <f t="shared" si="21"/>
        <v>#DIV/0!</v>
      </c>
      <c r="AJ31" s="79" t="e">
        <f t="shared" si="21"/>
        <v>#DIV/0!</v>
      </c>
      <c r="AK31" s="79" t="e">
        <f t="shared" si="21"/>
        <v>#DIV/0!</v>
      </c>
      <c r="AL31" s="79" t="e">
        <f t="shared" si="21"/>
        <v>#DIV/0!</v>
      </c>
      <c r="AM31" s="79" t="e">
        <f t="shared" si="21"/>
        <v>#DIV/0!</v>
      </c>
      <c r="AN31" s="80" t="e">
        <f t="shared" si="21"/>
        <v>#DIV/0!</v>
      </c>
    </row>
    <row r="32" spans="1:40" ht="15">
      <c r="A32" s="289"/>
      <c r="B32" s="25" t="s">
        <v>34</v>
      </c>
      <c r="C32" s="72" t="e">
        <f>C5/C13*C17*C15</f>
        <v>#DIV/0!</v>
      </c>
      <c r="D32" s="73" t="e">
        <f aca="true" t="shared" si="22" ref="D32:Q32">D5/D13*D17*D15</f>
        <v>#DIV/0!</v>
      </c>
      <c r="E32" s="73" t="e">
        <f t="shared" si="22"/>
        <v>#DIV/0!</v>
      </c>
      <c r="F32" s="73" t="e">
        <f t="shared" si="22"/>
        <v>#DIV/0!</v>
      </c>
      <c r="G32" s="73" t="e">
        <f t="shared" si="22"/>
        <v>#DIV/0!</v>
      </c>
      <c r="H32" s="73" t="e">
        <f t="shared" si="22"/>
        <v>#DIV/0!</v>
      </c>
      <c r="I32" s="73" t="e">
        <f t="shared" si="22"/>
        <v>#DIV/0!</v>
      </c>
      <c r="J32" s="73" t="e">
        <f t="shared" si="22"/>
        <v>#DIV/0!</v>
      </c>
      <c r="K32" s="73" t="e">
        <f t="shared" si="22"/>
        <v>#DIV/0!</v>
      </c>
      <c r="L32" s="73" t="e">
        <f t="shared" si="22"/>
        <v>#DIV/0!</v>
      </c>
      <c r="M32" s="73" t="e">
        <f t="shared" si="22"/>
        <v>#DIV/0!</v>
      </c>
      <c r="N32" s="73" t="e">
        <f t="shared" si="22"/>
        <v>#DIV/0!</v>
      </c>
      <c r="O32" s="73" t="e">
        <f t="shared" si="22"/>
        <v>#DIV/0!</v>
      </c>
      <c r="P32" s="73" t="e">
        <f t="shared" si="22"/>
        <v>#DIV/0!</v>
      </c>
      <c r="Q32" s="74" t="e">
        <f t="shared" si="22"/>
        <v>#DIV/0!</v>
      </c>
      <c r="S32" s="72" t="e">
        <f>S5/S13*S17*S15</f>
        <v>#DIV/0!</v>
      </c>
      <c r="T32" s="73" t="e">
        <f aca="true" t="shared" si="23" ref="T32:X32">T5/T13*T17*T15</f>
        <v>#DIV/0!</v>
      </c>
      <c r="U32" s="73" t="e">
        <f t="shared" si="23"/>
        <v>#DIV/0!</v>
      </c>
      <c r="V32" s="73" t="e">
        <f t="shared" si="23"/>
        <v>#DIV/0!</v>
      </c>
      <c r="W32" s="73" t="e">
        <f t="shared" si="23"/>
        <v>#DIV/0!</v>
      </c>
      <c r="X32" s="74" t="e">
        <f t="shared" si="23"/>
        <v>#DIV/0!</v>
      </c>
      <c r="Z32" s="72" t="e">
        <f aca="true" t="shared" si="24" ref="Z32:AF32">Z5/Z13*Z17*Z15</f>
        <v>#DIV/0!</v>
      </c>
      <c r="AA32" s="73" t="e">
        <f t="shared" si="24"/>
        <v>#DIV/0!</v>
      </c>
      <c r="AB32" s="73" t="e">
        <f t="shared" si="24"/>
        <v>#DIV/0!</v>
      </c>
      <c r="AC32" s="73" t="e">
        <f t="shared" si="24"/>
        <v>#DIV/0!</v>
      </c>
      <c r="AD32" s="73" t="e">
        <f t="shared" si="24"/>
        <v>#DIV/0!</v>
      </c>
      <c r="AE32" s="73" t="e">
        <f t="shared" si="24"/>
        <v>#DIV/0!</v>
      </c>
      <c r="AF32" s="74" t="e">
        <f t="shared" si="24"/>
        <v>#DIV/0!</v>
      </c>
      <c r="AH32" s="81" t="e">
        <f aca="true" t="shared" si="25" ref="AH32:AN32">AH5/AH13*AH17*AH15</f>
        <v>#DIV/0!</v>
      </c>
      <c r="AI32" s="82" t="e">
        <f t="shared" si="25"/>
        <v>#DIV/0!</v>
      </c>
      <c r="AJ32" s="82" t="e">
        <f t="shared" si="25"/>
        <v>#DIV/0!</v>
      </c>
      <c r="AK32" s="82" t="e">
        <f t="shared" si="25"/>
        <v>#DIV/0!</v>
      </c>
      <c r="AL32" s="82" t="e">
        <f t="shared" si="25"/>
        <v>#DIV/0!</v>
      </c>
      <c r="AM32" s="82" t="e">
        <f t="shared" si="25"/>
        <v>#DIV/0!</v>
      </c>
      <c r="AN32" s="83" t="e">
        <f t="shared" si="25"/>
        <v>#DIV/0!</v>
      </c>
    </row>
    <row r="33" spans="1:40" ht="15">
      <c r="A33" s="289"/>
      <c r="B33" s="25" t="s">
        <v>35</v>
      </c>
      <c r="C33" s="81">
        <f>C20*C21/C12</f>
        <v>0</v>
      </c>
      <c r="D33" s="82">
        <f aca="true" t="shared" si="26" ref="D33:Q33">D20*D21/D12</f>
        <v>0</v>
      </c>
      <c r="E33" s="82">
        <f t="shared" si="26"/>
        <v>0</v>
      </c>
      <c r="F33" s="82">
        <f t="shared" si="26"/>
        <v>0</v>
      </c>
      <c r="G33" s="82">
        <f t="shared" si="26"/>
        <v>0</v>
      </c>
      <c r="H33" s="82">
        <f t="shared" si="26"/>
        <v>0</v>
      </c>
      <c r="I33" s="82">
        <f t="shared" si="26"/>
        <v>0</v>
      </c>
      <c r="J33" s="82">
        <f t="shared" si="26"/>
        <v>0</v>
      </c>
      <c r="K33" s="82">
        <f t="shared" si="26"/>
        <v>0</v>
      </c>
      <c r="L33" s="82">
        <f t="shared" si="26"/>
        <v>0</v>
      </c>
      <c r="M33" s="82">
        <f t="shared" si="26"/>
        <v>0</v>
      </c>
      <c r="N33" s="82">
        <f t="shared" si="26"/>
        <v>0</v>
      </c>
      <c r="O33" s="82">
        <f t="shared" si="26"/>
        <v>0</v>
      </c>
      <c r="P33" s="82">
        <f t="shared" si="26"/>
        <v>0</v>
      </c>
      <c r="Q33" s="83">
        <f t="shared" si="26"/>
        <v>0</v>
      </c>
      <c r="S33" s="81">
        <f>S20*S21/S12</f>
        <v>0</v>
      </c>
      <c r="T33" s="82">
        <f aca="true" t="shared" si="27" ref="T33:X33">T20*T21/T12</f>
        <v>0</v>
      </c>
      <c r="U33" s="82">
        <f t="shared" si="27"/>
        <v>0</v>
      </c>
      <c r="V33" s="82">
        <f t="shared" si="27"/>
        <v>0</v>
      </c>
      <c r="W33" s="82">
        <f t="shared" si="27"/>
        <v>0</v>
      </c>
      <c r="X33" s="83">
        <f t="shared" si="27"/>
        <v>0</v>
      </c>
      <c r="Z33" s="81">
        <f aca="true" t="shared" si="28" ref="Z33:AC33">Z20*Z21/Z12</f>
        <v>0</v>
      </c>
      <c r="AA33" s="82">
        <f t="shared" si="28"/>
        <v>0</v>
      </c>
      <c r="AB33" s="82">
        <f t="shared" si="28"/>
        <v>0</v>
      </c>
      <c r="AC33" s="82">
        <f t="shared" si="28"/>
        <v>0</v>
      </c>
      <c r="AD33" s="82">
        <f>AD20*AD21/AD12</f>
        <v>0</v>
      </c>
      <c r="AE33" s="82">
        <f aca="true" t="shared" si="29" ref="AE33:AF33">AE20*AE21/AE12</f>
        <v>0</v>
      </c>
      <c r="AF33" s="83">
        <f t="shared" si="29"/>
        <v>0</v>
      </c>
      <c r="AH33" s="81">
        <f>AH20*AH21/AH12</f>
        <v>0</v>
      </c>
      <c r="AI33" s="82">
        <f>AI20*AI21/AI12</f>
        <v>0</v>
      </c>
      <c r="AJ33" s="82">
        <f>AJ20*AJ21/AJ12</f>
        <v>0</v>
      </c>
      <c r="AK33" s="82">
        <f>AK20*AK21/AK12</f>
        <v>0</v>
      </c>
      <c r="AL33" s="82">
        <f>AL20*AL21/AL12</f>
        <v>0</v>
      </c>
      <c r="AM33" s="82">
        <f aca="true" t="shared" si="30" ref="AM33:AN33">AM20*AM21/AM12</f>
        <v>0</v>
      </c>
      <c r="AN33" s="83">
        <f t="shared" si="30"/>
        <v>0</v>
      </c>
    </row>
    <row r="34" spans="1:40" ht="15">
      <c r="A34" s="289"/>
      <c r="B34" s="25" t="s">
        <v>36</v>
      </c>
      <c r="C34" s="81">
        <f>C19*C21/C12</f>
        <v>0.18094323142444863</v>
      </c>
      <c r="D34" s="82">
        <f aca="true" t="shared" si="31" ref="D34:Q34">D19*D21/D12</f>
        <v>0.18094323142444863</v>
      </c>
      <c r="E34" s="82">
        <f t="shared" si="31"/>
        <v>0.23614625118106009</v>
      </c>
      <c r="F34" s="82">
        <f t="shared" si="31"/>
        <v>0.23614625118106009</v>
      </c>
      <c r="G34" s="82">
        <f t="shared" si="31"/>
        <v>0.3986884760199716</v>
      </c>
      <c r="H34" s="82">
        <f t="shared" si="31"/>
        <v>0.18094323142444863</v>
      </c>
      <c r="I34" s="82">
        <f t="shared" si="31"/>
        <v>0.18094323142444863</v>
      </c>
      <c r="J34" s="82">
        <f t="shared" si="31"/>
        <v>0.23614625118106009</v>
      </c>
      <c r="K34" s="82">
        <f t="shared" si="31"/>
        <v>0.23614625118106009</v>
      </c>
      <c r="L34" s="82">
        <f t="shared" si="31"/>
        <v>0.3986884760199716</v>
      </c>
      <c r="M34" s="82">
        <f t="shared" si="31"/>
        <v>0.18094323142444863</v>
      </c>
      <c r="N34" s="82">
        <f t="shared" si="31"/>
        <v>0.18094323142444863</v>
      </c>
      <c r="O34" s="82">
        <f t="shared" si="31"/>
        <v>0.2882824365067487</v>
      </c>
      <c r="P34" s="82">
        <f t="shared" si="31"/>
        <v>0.23614625118106009</v>
      </c>
      <c r="Q34" s="83">
        <f t="shared" si="31"/>
        <v>0.3986884760199716</v>
      </c>
      <c r="S34" s="81">
        <f>S19*S21/S12</f>
        <v>0.12880704609876004</v>
      </c>
      <c r="T34" s="82">
        <f aca="true" t="shared" si="32" ref="T34:X34">T19*T21/T12</f>
        <v>0.18094323142444863</v>
      </c>
      <c r="U34" s="82">
        <f t="shared" si="32"/>
        <v>0.12880704609876004</v>
      </c>
      <c r="V34" s="82">
        <f t="shared" si="32"/>
        <v>0.18094323142444863</v>
      </c>
      <c r="W34" s="82">
        <f t="shared" si="32"/>
        <v>0.12880704609876004</v>
      </c>
      <c r="X34" s="83">
        <f t="shared" si="32"/>
        <v>0.18094323142444863</v>
      </c>
      <c r="Z34" s="81">
        <f aca="true" t="shared" si="33" ref="Z34:AC34">Z19*Z21/Z12</f>
        <v>0.18094323142444863</v>
      </c>
      <c r="AA34" s="82">
        <f t="shared" si="33"/>
        <v>0.18094323142444863</v>
      </c>
      <c r="AB34" s="82">
        <f t="shared" si="33"/>
        <v>0.23614625118106009</v>
      </c>
      <c r="AC34" s="82">
        <f t="shared" si="33"/>
        <v>0.23614625118106009</v>
      </c>
      <c r="AD34" s="82">
        <f>AD19*AD21/AD12</f>
        <v>0.3986884760199716</v>
      </c>
      <c r="AE34" s="82">
        <f aca="true" t="shared" si="34" ref="AE34:AF34">AE19*AE21/AE12</f>
        <v>0.12880704609876004</v>
      </c>
      <c r="AF34" s="83">
        <f t="shared" si="34"/>
        <v>0.18094323142444863</v>
      </c>
      <c r="AH34" s="81">
        <f>AH19*AH21/AH12</f>
        <v>0.12880704609876004</v>
      </c>
      <c r="AI34" s="82">
        <f>AI19*AI21/AI12</f>
        <v>0.23614625118106009</v>
      </c>
      <c r="AJ34" s="82">
        <f>AJ19*AJ21/AJ12</f>
        <v>0.3986884760199716</v>
      </c>
      <c r="AK34" s="82">
        <f>AK19*AK21/AK12</f>
        <v>0.6133668861845717</v>
      </c>
      <c r="AL34" s="82">
        <f>AL19*AL21/AL12</f>
        <v>0.3986884760199716</v>
      </c>
      <c r="AM34" s="82" t="e">
        <f aca="true" t="shared" si="35" ref="AM34:AN34">AM19*AM21/AM12</f>
        <v>#DIV/0!</v>
      </c>
      <c r="AN34" s="83">
        <f t="shared" si="35"/>
        <v>0.18094323142444863</v>
      </c>
    </row>
    <row r="35" spans="1:40" ht="15">
      <c r="A35" s="289"/>
      <c r="B35" s="25" t="s">
        <v>37</v>
      </c>
      <c r="C35" s="81">
        <v>0.5</v>
      </c>
      <c r="D35" s="82">
        <v>0.5</v>
      </c>
      <c r="E35" s="82">
        <v>0.5</v>
      </c>
      <c r="F35" s="82">
        <v>0.5</v>
      </c>
      <c r="G35" s="82">
        <v>0.5</v>
      </c>
      <c r="H35" s="82">
        <v>0.5</v>
      </c>
      <c r="I35" s="82">
        <v>0.5</v>
      </c>
      <c r="J35" s="82">
        <v>0.5</v>
      </c>
      <c r="K35" s="82">
        <v>0.5</v>
      </c>
      <c r="L35" s="82">
        <v>0.5</v>
      </c>
      <c r="M35" s="82">
        <v>0.5</v>
      </c>
      <c r="N35" s="82">
        <v>0.5</v>
      </c>
      <c r="O35" s="82">
        <v>0.5</v>
      </c>
      <c r="P35" s="82">
        <v>0.5</v>
      </c>
      <c r="Q35" s="83">
        <v>0.5</v>
      </c>
      <c r="S35" s="81">
        <v>0.5</v>
      </c>
      <c r="T35" s="82">
        <v>0.5</v>
      </c>
      <c r="U35" s="82">
        <v>0.5</v>
      </c>
      <c r="V35" s="82">
        <v>0.5</v>
      </c>
      <c r="W35" s="82">
        <v>0.5</v>
      </c>
      <c r="X35" s="83">
        <v>0.5</v>
      </c>
      <c r="Z35" s="81">
        <v>0.5</v>
      </c>
      <c r="AA35" s="82">
        <v>0.5</v>
      </c>
      <c r="AB35" s="82">
        <v>0.5</v>
      </c>
      <c r="AC35" s="82">
        <v>0.5</v>
      </c>
      <c r="AD35" s="82">
        <v>0.5</v>
      </c>
      <c r="AE35" s="82">
        <v>0.5</v>
      </c>
      <c r="AF35" s="83">
        <v>0.5</v>
      </c>
      <c r="AH35" s="81">
        <v>0.5</v>
      </c>
      <c r="AI35" s="82">
        <v>0.5</v>
      </c>
      <c r="AJ35" s="82">
        <v>0.5</v>
      </c>
      <c r="AK35" s="82">
        <v>0.5</v>
      </c>
      <c r="AL35" s="82">
        <v>0.5</v>
      </c>
      <c r="AM35" s="82">
        <v>0.5</v>
      </c>
      <c r="AN35" s="83">
        <v>0.5</v>
      </c>
    </row>
    <row r="36" spans="1:40" ht="15" thickBot="1">
      <c r="A36" s="291"/>
      <c r="B36" s="47" t="s">
        <v>38</v>
      </c>
      <c r="C36" s="84">
        <f>IF(C21=1,0.85,IF(C21=3,0,IF(C21=2,0.85)))</f>
        <v>0</v>
      </c>
      <c r="D36" s="85">
        <f>IF(D21=1,0.85,IF(D21=3,0,IF(D21=2,0.85)))</f>
        <v>0</v>
      </c>
      <c r="E36" s="85">
        <f>IF(E21=1,0.85,IF(E21=3,0,IF(E21=2,0.85)))</f>
        <v>0</v>
      </c>
      <c r="F36" s="85">
        <f>IF(F21=1,0.85,IF(F21=3,0,IF(F21=2,0.85)))</f>
        <v>0</v>
      </c>
      <c r="G36" s="85">
        <f>IF(G21=1,0.85,IF(G21=3,0,IF(G21=2,0.85)))</f>
        <v>0</v>
      </c>
      <c r="H36" s="85">
        <v>0</v>
      </c>
      <c r="I36" s="85">
        <f>IF(I21=1,0.85,IF(I21=3,0,IF(I21=2,0.85)))</f>
        <v>0</v>
      </c>
      <c r="J36" s="85">
        <f>IF(J21=1,0.85,IF(J21=3,0,IF(J21=2,0.85)))</f>
        <v>0</v>
      </c>
      <c r="K36" s="85">
        <f>IF(K21=1,0.85,IF(K21=3,0,IF(K21=2,0.85)))</f>
        <v>0</v>
      </c>
      <c r="L36" s="85">
        <f>IF(L21=1,0.85,IF(L21=3,0,IF(L21=2,0.85)))</f>
        <v>0</v>
      </c>
      <c r="M36" s="85">
        <f aca="true" t="shared" si="36" ref="M36:Q36">IF(M21=1,0.85,IF(M21=3,0,IF(M21=2,0.85)))</f>
        <v>0</v>
      </c>
      <c r="N36" s="85">
        <f t="shared" si="36"/>
        <v>0</v>
      </c>
      <c r="O36" s="85">
        <f t="shared" si="36"/>
        <v>0</v>
      </c>
      <c r="P36" s="85">
        <f t="shared" si="36"/>
        <v>0</v>
      </c>
      <c r="Q36" s="86">
        <f t="shared" si="36"/>
        <v>0</v>
      </c>
      <c r="S36" s="87"/>
      <c r="T36" s="88"/>
      <c r="U36" s="88"/>
      <c r="V36" s="88"/>
      <c r="W36" s="88"/>
      <c r="X36" s="89"/>
      <c r="Z36" s="84">
        <v>0</v>
      </c>
      <c r="AA36" s="85">
        <f>IF(AA21=1,0.85,IF(AA21=3,0,IF(AA21=2,0.85)))</f>
        <v>0</v>
      </c>
      <c r="AB36" s="85">
        <f>IF(AB21=1,0.85,IF(AB21=3,0,IF(AB21=2,0.85)))</f>
        <v>0</v>
      </c>
      <c r="AC36" s="85">
        <f>IF(AC21=1,0.85,IF(AC21=3,0,IF(AC21=2,0.85)))</f>
        <v>0</v>
      </c>
      <c r="AD36" s="85">
        <f>IF(AD21=1,0.85,IF(AD21=3,0,IF(AD21=2,0.85)))</f>
        <v>0</v>
      </c>
      <c r="AE36" s="85">
        <f aca="true" t="shared" si="37" ref="AE36:AF36">IF(AE21=1,0.85,IF(AE21=3,0,IF(AE21=2,0.85)))</f>
        <v>0</v>
      </c>
      <c r="AF36" s="86">
        <f t="shared" si="37"/>
        <v>0</v>
      </c>
      <c r="AH36" s="87"/>
      <c r="AI36" s="88"/>
      <c r="AJ36" s="88"/>
      <c r="AK36" s="88"/>
      <c r="AL36" s="88"/>
      <c r="AM36" s="88"/>
      <c r="AN36" s="89"/>
    </row>
    <row r="37" spans="1:40" ht="15.6" thickBot="1" thickTop="1">
      <c r="A37" s="314" t="s">
        <v>7</v>
      </c>
      <c r="B37" s="315"/>
      <c r="C37" s="316"/>
      <c r="D37" s="316"/>
      <c r="E37" s="316"/>
      <c r="F37" s="316"/>
      <c r="G37" s="316"/>
      <c r="H37" s="316"/>
      <c r="I37" s="316"/>
      <c r="J37" s="316"/>
      <c r="K37" s="316"/>
      <c r="L37" s="316"/>
      <c r="M37" s="316"/>
      <c r="N37" s="316"/>
      <c r="O37" s="316"/>
      <c r="P37" s="316"/>
      <c r="Q37" s="316"/>
      <c r="R37" s="317"/>
      <c r="S37" s="316"/>
      <c r="T37" s="316"/>
      <c r="U37" s="316"/>
      <c r="V37" s="316"/>
      <c r="W37" s="316"/>
      <c r="X37" s="316"/>
      <c r="Y37" s="317"/>
      <c r="Z37" s="316"/>
      <c r="AA37" s="316"/>
      <c r="AB37" s="316"/>
      <c r="AC37" s="316"/>
      <c r="AD37" s="316"/>
      <c r="AE37" s="316"/>
      <c r="AF37" s="316"/>
      <c r="AG37" s="317"/>
      <c r="AH37" s="316"/>
      <c r="AI37" s="316"/>
      <c r="AJ37" s="316"/>
      <c r="AK37" s="316"/>
      <c r="AL37" s="316"/>
      <c r="AM37" s="316"/>
      <c r="AN37" s="318"/>
    </row>
    <row r="38" spans="1:40" ht="15" thickTop="1">
      <c r="A38" s="319">
        <v>13</v>
      </c>
      <c r="B38" s="121" t="s">
        <v>39</v>
      </c>
      <c r="C38" s="129"/>
      <c r="D38" s="130"/>
      <c r="E38" s="130"/>
      <c r="F38" s="130"/>
      <c r="G38" s="130"/>
      <c r="H38" s="130"/>
      <c r="I38" s="130"/>
      <c r="J38" s="130"/>
      <c r="K38" s="130"/>
      <c r="L38" s="130"/>
      <c r="M38" s="130"/>
      <c r="N38" s="130"/>
      <c r="O38" s="130"/>
      <c r="P38" s="130"/>
      <c r="Q38" s="131"/>
      <c r="S38" s="129"/>
      <c r="T38" s="130"/>
      <c r="U38" s="130"/>
      <c r="V38" s="130"/>
      <c r="W38" s="130"/>
      <c r="X38" s="131"/>
      <c r="Z38" s="129"/>
      <c r="AA38" s="130"/>
      <c r="AB38" s="130"/>
      <c r="AC38" s="130"/>
      <c r="AD38" s="130"/>
      <c r="AE38" s="130"/>
      <c r="AF38" s="131"/>
      <c r="AH38" s="129"/>
      <c r="AI38" s="130"/>
      <c r="AJ38" s="130"/>
      <c r="AK38" s="130"/>
      <c r="AL38" s="130"/>
      <c r="AM38" s="130"/>
      <c r="AN38" s="131"/>
    </row>
    <row r="39" spans="1:40" ht="28.2" thickBot="1">
      <c r="A39" s="320"/>
      <c r="B39" s="98" t="s">
        <v>40</v>
      </c>
      <c r="C39" s="132"/>
      <c r="D39" s="133"/>
      <c r="E39" s="133"/>
      <c r="F39" s="133"/>
      <c r="G39" s="133"/>
      <c r="H39" s="133"/>
      <c r="I39" s="133"/>
      <c r="J39" s="133"/>
      <c r="K39" s="133"/>
      <c r="L39" s="133"/>
      <c r="M39" s="133"/>
      <c r="N39" s="133"/>
      <c r="O39" s="133"/>
      <c r="P39" s="133"/>
      <c r="Q39" s="134"/>
      <c r="S39" s="132"/>
      <c r="T39" s="133"/>
      <c r="U39" s="133"/>
      <c r="V39" s="133"/>
      <c r="W39" s="133"/>
      <c r="X39" s="134"/>
      <c r="Z39" s="132"/>
      <c r="AA39" s="133"/>
      <c r="AB39" s="133"/>
      <c r="AC39" s="133"/>
      <c r="AD39" s="133"/>
      <c r="AE39" s="133"/>
      <c r="AF39" s="134"/>
      <c r="AH39" s="132"/>
      <c r="AI39" s="133"/>
      <c r="AJ39" s="133"/>
      <c r="AK39" s="133"/>
      <c r="AL39" s="133"/>
      <c r="AM39" s="133"/>
      <c r="AN39" s="134"/>
    </row>
    <row r="40" spans="1:40" ht="15.6" thickBot="1" thickTop="1">
      <c r="A40" s="320"/>
      <c r="B40" s="48" t="s">
        <v>41</v>
      </c>
      <c r="C40" s="123"/>
      <c r="D40" s="124"/>
      <c r="E40" s="124"/>
      <c r="F40" s="124"/>
      <c r="G40" s="124"/>
      <c r="H40" s="124"/>
      <c r="I40" s="124"/>
      <c r="J40" s="124"/>
      <c r="K40" s="124"/>
      <c r="L40" s="124"/>
      <c r="M40" s="124"/>
      <c r="N40" s="124"/>
      <c r="O40" s="124"/>
      <c r="P40" s="124"/>
      <c r="Q40" s="125"/>
      <c r="S40" s="123"/>
      <c r="T40" s="124"/>
      <c r="U40" s="124"/>
      <c r="V40" s="124"/>
      <c r="W40" s="124"/>
      <c r="X40" s="125"/>
      <c r="Z40" s="123"/>
      <c r="AA40" s="124"/>
      <c r="AB40" s="124"/>
      <c r="AC40" s="124"/>
      <c r="AD40" s="124"/>
      <c r="AE40" s="124"/>
      <c r="AF40" s="125"/>
      <c r="AH40" s="123"/>
      <c r="AI40" s="124"/>
      <c r="AJ40" s="124"/>
      <c r="AK40" s="124"/>
      <c r="AL40" s="124"/>
      <c r="AM40" s="124"/>
      <c r="AN40" s="125"/>
    </row>
    <row r="41" spans="1:40" ht="15.6" thickBot="1" thickTop="1">
      <c r="A41" s="320"/>
      <c r="B41" s="122" t="s">
        <v>42</v>
      </c>
      <c r="C41" s="135"/>
      <c r="D41" s="136"/>
      <c r="E41" s="136"/>
      <c r="F41" s="136"/>
      <c r="G41" s="136"/>
      <c r="H41" s="136"/>
      <c r="I41" s="136"/>
      <c r="J41" s="136"/>
      <c r="K41" s="136"/>
      <c r="L41" s="136"/>
      <c r="M41" s="136"/>
      <c r="N41" s="136"/>
      <c r="O41" s="136"/>
      <c r="P41" s="136"/>
      <c r="Q41" s="137"/>
      <c r="S41" s="135"/>
      <c r="T41" s="136"/>
      <c r="U41" s="136"/>
      <c r="V41" s="136"/>
      <c r="W41" s="136"/>
      <c r="X41" s="137"/>
      <c r="Z41" s="135"/>
      <c r="AA41" s="136"/>
      <c r="AB41" s="136"/>
      <c r="AC41" s="136"/>
      <c r="AD41" s="136"/>
      <c r="AE41" s="136"/>
      <c r="AF41" s="137"/>
      <c r="AH41" s="135"/>
      <c r="AI41" s="136"/>
      <c r="AJ41" s="136"/>
      <c r="AK41" s="136"/>
      <c r="AL41" s="136"/>
      <c r="AM41" s="136"/>
      <c r="AN41" s="137"/>
    </row>
    <row r="42" spans="1:40" ht="56.4" thickBot="1" thickTop="1">
      <c r="A42" s="90" t="s">
        <v>43</v>
      </c>
      <c r="B42" s="25" t="s">
        <v>44</v>
      </c>
      <c r="C42" s="112" t="e">
        <f>C7+C9+C31+C32+C33+C34+C35+C36+C38+C39+C40</f>
        <v>#DIV/0!</v>
      </c>
      <c r="D42" s="113" t="e">
        <f aca="true" t="shared" si="38" ref="D42:Q42">D7+D9+D31+D32+D33+D34+D35+D36+D38+D39+D40</f>
        <v>#DIV/0!</v>
      </c>
      <c r="E42" s="113" t="e">
        <f t="shared" si="38"/>
        <v>#DIV/0!</v>
      </c>
      <c r="F42" s="113" t="e">
        <f t="shared" si="38"/>
        <v>#DIV/0!</v>
      </c>
      <c r="G42" s="113" t="e">
        <f t="shared" si="38"/>
        <v>#DIV/0!</v>
      </c>
      <c r="H42" s="113" t="e">
        <f t="shared" si="38"/>
        <v>#DIV/0!</v>
      </c>
      <c r="I42" s="113" t="e">
        <f t="shared" si="38"/>
        <v>#DIV/0!</v>
      </c>
      <c r="J42" s="113" t="e">
        <f t="shared" si="38"/>
        <v>#DIV/0!</v>
      </c>
      <c r="K42" s="113" t="e">
        <f t="shared" si="38"/>
        <v>#DIV/0!</v>
      </c>
      <c r="L42" s="113" t="e">
        <f t="shared" si="38"/>
        <v>#DIV/0!</v>
      </c>
      <c r="M42" s="113" t="e">
        <f t="shared" si="38"/>
        <v>#DIV/0!</v>
      </c>
      <c r="N42" s="113" t="e">
        <f t="shared" si="38"/>
        <v>#DIV/0!</v>
      </c>
      <c r="O42" s="113" t="e">
        <f t="shared" si="38"/>
        <v>#DIV/0!</v>
      </c>
      <c r="P42" s="113" t="e">
        <f t="shared" si="38"/>
        <v>#DIV/0!</v>
      </c>
      <c r="Q42" s="114" t="e">
        <f t="shared" si="38"/>
        <v>#DIV/0!</v>
      </c>
      <c r="S42" s="112" t="e">
        <f aca="true" t="shared" si="39" ref="S42:X42">S7+S9+S31+S32+S33+S34+S35+S38+S39+S40</f>
        <v>#DIV/0!</v>
      </c>
      <c r="T42" s="113" t="e">
        <f t="shared" si="39"/>
        <v>#DIV/0!</v>
      </c>
      <c r="U42" s="113" t="e">
        <f t="shared" si="39"/>
        <v>#DIV/0!</v>
      </c>
      <c r="V42" s="113" t="e">
        <f t="shared" si="39"/>
        <v>#DIV/0!</v>
      </c>
      <c r="W42" s="113" t="e">
        <f t="shared" si="39"/>
        <v>#DIV/0!</v>
      </c>
      <c r="X42" s="114" t="e">
        <f t="shared" si="39"/>
        <v>#DIV/0!</v>
      </c>
      <c r="Z42" s="112" t="e">
        <f aca="true" t="shared" si="40" ref="Z42:AF42">Z7+Z9+Z31+Z32+Z33+Z34+Z35+Z36+Z38+Z39+Z40</f>
        <v>#DIV/0!</v>
      </c>
      <c r="AA42" s="113" t="e">
        <f t="shared" si="40"/>
        <v>#DIV/0!</v>
      </c>
      <c r="AB42" s="113" t="e">
        <f t="shared" si="40"/>
        <v>#DIV/0!</v>
      </c>
      <c r="AC42" s="113" t="e">
        <f t="shared" si="40"/>
        <v>#DIV/0!</v>
      </c>
      <c r="AD42" s="113" t="e">
        <f t="shared" si="40"/>
        <v>#DIV/0!</v>
      </c>
      <c r="AE42" s="113" t="e">
        <f t="shared" si="40"/>
        <v>#DIV/0!</v>
      </c>
      <c r="AF42" s="114" t="e">
        <f t="shared" si="40"/>
        <v>#DIV/0!</v>
      </c>
      <c r="AH42" s="112" t="e">
        <f aca="true" t="shared" si="41" ref="AH42:AN42">AH7+AH9+AH31+AH32+AH33+AH34+AH35+AH38+AH39+AH40</f>
        <v>#DIV/0!</v>
      </c>
      <c r="AI42" s="113" t="e">
        <f t="shared" si="41"/>
        <v>#DIV/0!</v>
      </c>
      <c r="AJ42" s="113" t="e">
        <f t="shared" si="41"/>
        <v>#DIV/0!</v>
      </c>
      <c r="AK42" s="113" t="e">
        <f t="shared" si="41"/>
        <v>#DIV/0!</v>
      </c>
      <c r="AL42" s="113" t="e">
        <f t="shared" si="41"/>
        <v>#DIV/0!</v>
      </c>
      <c r="AM42" s="113" t="e">
        <f t="shared" si="41"/>
        <v>#DIV/0!</v>
      </c>
      <c r="AN42" s="114" t="e">
        <f t="shared" si="41"/>
        <v>#DIV/0!</v>
      </c>
    </row>
    <row r="43" spans="1:40" ht="42.6" thickBot="1" thickTop="1">
      <c r="A43" s="289">
        <v>14</v>
      </c>
      <c r="B43" s="98" t="s">
        <v>46</v>
      </c>
      <c r="C43" s="138">
        <v>11.49</v>
      </c>
      <c r="D43" s="139">
        <v>13.14</v>
      </c>
      <c r="E43" s="139">
        <v>16.45</v>
      </c>
      <c r="F43" s="139">
        <v>20.58</v>
      </c>
      <c r="G43" s="139">
        <v>25.54</v>
      </c>
      <c r="H43" s="139">
        <v>9.83</v>
      </c>
      <c r="I43" s="139">
        <v>11.49</v>
      </c>
      <c r="J43" s="139">
        <v>14.79</v>
      </c>
      <c r="K43" s="139">
        <v>18.93</v>
      </c>
      <c r="L43" s="139">
        <v>23.88</v>
      </c>
      <c r="M43" s="139">
        <v>9.01</v>
      </c>
      <c r="N43" s="139">
        <v>9.83</v>
      </c>
      <c r="O43" s="139">
        <v>12.31</v>
      </c>
      <c r="P43" s="139">
        <v>13.97</v>
      </c>
      <c r="Q43" s="140">
        <v>19.75</v>
      </c>
      <c r="S43" s="138">
        <v>10.66115702479339</v>
      </c>
      <c r="T43" s="139">
        <v>13.97</v>
      </c>
      <c r="U43" s="139">
        <v>9.01</v>
      </c>
      <c r="V43" s="139">
        <v>12.31</v>
      </c>
      <c r="W43" s="139">
        <v>5.7</v>
      </c>
      <c r="X43" s="140">
        <v>7.36</v>
      </c>
      <c r="Z43" s="138">
        <v>8.61</v>
      </c>
      <c r="AA43" s="139">
        <v>10.05</v>
      </c>
      <c r="AB43" s="139">
        <v>12.94</v>
      </c>
      <c r="AC43" s="139">
        <v>16.56</v>
      </c>
      <c r="AD43" s="139">
        <v>20.9</v>
      </c>
      <c r="AE43" s="139">
        <v>7.88</v>
      </c>
      <c r="AF43" s="140">
        <v>10.77</v>
      </c>
      <c r="AH43" s="138">
        <v>15</v>
      </c>
      <c r="AI43" s="139">
        <v>22.5</v>
      </c>
      <c r="AJ43" s="139">
        <v>38.5</v>
      </c>
      <c r="AK43" s="139">
        <v>58.5</v>
      </c>
      <c r="AL43" s="139">
        <v>79</v>
      </c>
      <c r="AM43" s="139">
        <v>12.5</v>
      </c>
      <c r="AN43" s="140">
        <v>20</v>
      </c>
    </row>
    <row r="44" spans="1:40" ht="42.6" thickBot="1" thickTop="1">
      <c r="A44" s="289"/>
      <c r="B44" s="25" t="s">
        <v>48</v>
      </c>
      <c r="C44" s="112">
        <f>50/C11</f>
        <v>2.0833333333333335</v>
      </c>
      <c r="D44" s="113">
        <f aca="true" t="shared" si="42" ref="D44:G44">50/D11</f>
        <v>2.0833333333333335</v>
      </c>
      <c r="E44" s="113">
        <f t="shared" si="42"/>
        <v>2.0833333333333335</v>
      </c>
      <c r="F44" s="113">
        <f t="shared" si="42"/>
        <v>2.0833333333333335</v>
      </c>
      <c r="G44" s="113">
        <f t="shared" si="42"/>
        <v>2.0833333333333335</v>
      </c>
      <c r="H44" s="113">
        <f>20/H11</f>
        <v>0.8333333333333334</v>
      </c>
      <c r="I44" s="113">
        <f aca="true" t="shared" si="43" ref="I44:L44">20/I11</f>
        <v>0.8333333333333334</v>
      </c>
      <c r="J44" s="113">
        <f t="shared" si="43"/>
        <v>0.8333333333333334</v>
      </c>
      <c r="K44" s="113">
        <f t="shared" si="43"/>
        <v>0.8333333333333334</v>
      </c>
      <c r="L44" s="113">
        <f t="shared" si="43"/>
        <v>0.8333333333333334</v>
      </c>
      <c r="M44" s="113">
        <v>0</v>
      </c>
      <c r="N44" s="113">
        <v>0</v>
      </c>
      <c r="O44" s="113">
        <v>0</v>
      </c>
      <c r="P44" s="113">
        <v>0</v>
      </c>
      <c r="Q44" s="114">
        <v>0</v>
      </c>
      <c r="S44" s="112">
        <f>50/S11</f>
        <v>2.0833333333333335</v>
      </c>
      <c r="T44" s="113">
        <f>50/T11</f>
        <v>2.0833333333333335</v>
      </c>
      <c r="U44" s="113">
        <f>20/U11</f>
        <v>0.8333333333333334</v>
      </c>
      <c r="V44" s="113">
        <f>20/V11</f>
        <v>0.8333333333333334</v>
      </c>
      <c r="W44" s="113">
        <v>0</v>
      </c>
      <c r="X44" s="114">
        <v>0</v>
      </c>
      <c r="Z44" s="112">
        <f>20/Z11</f>
        <v>0.8333333333333334</v>
      </c>
      <c r="AA44" s="113">
        <f aca="true" t="shared" si="44" ref="AA44:AF44">20/AA11</f>
        <v>0.8333333333333334</v>
      </c>
      <c r="AB44" s="113">
        <f t="shared" si="44"/>
        <v>0.8333333333333334</v>
      </c>
      <c r="AC44" s="113">
        <f t="shared" si="44"/>
        <v>0.8333333333333334</v>
      </c>
      <c r="AD44" s="113">
        <f t="shared" si="44"/>
        <v>0.8333333333333334</v>
      </c>
      <c r="AE44" s="113">
        <f t="shared" si="44"/>
        <v>0.8333333333333334</v>
      </c>
      <c r="AF44" s="114">
        <f t="shared" si="44"/>
        <v>0.8333333333333334</v>
      </c>
      <c r="AH44" s="112">
        <f aca="true" t="shared" si="45" ref="AH44:AN44">15/AH11</f>
        <v>0.25</v>
      </c>
      <c r="AI44" s="113">
        <f t="shared" si="45"/>
        <v>0.25</v>
      </c>
      <c r="AJ44" s="113">
        <f t="shared" si="45"/>
        <v>0.25</v>
      </c>
      <c r="AK44" s="113">
        <f t="shared" si="45"/>
        <v>0.25</v>
      </c>
      <c r="AL44" s="113">
        <f t="shared" si="45"/>
        <v>0.25</v>
      </c>
      <c r="AM44" s="113">
        <f t="shared" si="45"/>
        <v>0.25</v>
      </c>
      <c r="AN44" s="114">
        <f t="shared" si="45"/>
        <v>0.25</v>
      </c>
    </row>
    <row r="45" spans="1:40" ht="42.6" thickBot="1" thickTop="1">
      <c r="A45" s="289"/>
      <c r="B45" s="98" t="s">
        <v>49</v>
      </c>
      <c r="C45" s="138"/>
      <c r="D45" s="139"/>
      <c r="E45" s="139"/>
      <c r="F45" s="139"/>
      <c r="G45" s="139"/>
      <c r="H45" s="139"/>
      <c r="I45" s="139"/>
      <c r="J45" s="139"/>
      <c r="K45" s="139"/>
      <c r="L45" s="139"/>
      <c r="M45" s="139"/>
      <c r="N45" s="139"/>
      <c r="O45" s="139"/>
      <c r="P45" s="139"/>
      <c r="Q45" s="140"/>
      <c r="S45" s="138"/>
      <c r="T45" s="139"/>
      <c r="U45" s="139"/>
      <c r="V45" s="139"/>
      <c r="W45" s="139"/>
      <c r="X45" s="140"/>
      <c r="Z45" s="138"/>
      <c r="AA45" s="139"/>
      <c r="AB45" s="139"/>
      <c r="AC45" s="139"/>
      <c r="AD45" s="139"/>
      <c r="AE45" s="139"/>
      <c r="AF45" s="140"/>
      <c r="AH45" s="138"/>
      <c r="AI45" s="139"/>
      <c r="AJ45" s="139"/>
      <c r="AK45" s="139"/>
      <c r="AL45" s="139"/>
      <c r="AM45" s="139"/>
      <c r="AN45" s="140"/>
    </row>
    <row r="46" spans="1:40" ht="76.8" customHeight="1" collapsed="1" thickBot="1" thickTop="1">
      <c r="A46" s="21" t="s">
        <v>51</v>
      </c>
      <c r="B46" s="49" t="s">
        <v>108</v>
      </c>
      <c r="C46" s="126" t="str">
        <f>IF(OR(C13=0,C16=0,C17=0,C20=0,C38=0,C39=0,C41=0,C45=0,),"Neužpildyti visi laukai C stulpelyje",C43+C44+C45-C42)</f>
        <v>Neužpildyti visi laukai C stulpelyje</v>
      </c>
      <c r="D46" s="127" t="str">
        <f>IF(OR(D13=0,D16=0,D17=0,D20=0,D38=0,D39=0,D41=0,D45=0,),"Neužpildyti visi laukai D stulpelyje",D43+D44+D45-D42)</f>
        <v>Neužpildyti visi laukai D stulpelyje</v>
      </c>
      <c r="E46" s="127" t="str">
        <f>IF(OR(E13=0,E16=0,E17=0,E20=0,E38=0,E39=0,E41=0,E45=0,),"Neužpildyti visi laukai E stulpelyje",E43+E44+E45-E42)</f>
        <v>Neužpildyti visi laukai E stulpelyje</v>
      </c>
      <c r="F46" s="127" t="str">
        <f>IF(OR(F13=0,F16=0,F17=0,F20=0,F38=0,F39=0,F41=0,F45=0,),"Neužpildyti visi laukai F stulpelyje",F43+F44+F45-F42)</f>
        <v>Neužpildyti visi laukai F stulpelyje</v>
      </c>
      <c r="G46" s="127" t="str">
        <f>IF(OR(G13=0,G16=0,G17=0,G20=0,G38=0,G39=0,G41=0,G45=0,),"Neužpildyti visi laukai G stulpelyje",G43+G44+G45-G42)</f>
        <v>Neužpildyti visi laukai G stulpelyje</v>
      </c>
      <c r="H46" s="127" t="str">
        <f>IF(OR(H13=0,H16=0,H17=0,H20=0,H38=0,H39=0,H41=0,H45=0,),"Neužpildyti visi laukai H stulpelyje",H43+H44+H45-H42)</f>
        <v>Neužpildyti visi laukai H stulpelyje</v>
      </c>
      <c r="I46" s="127" t="str">
        <f>IF(OR(I13=0,I16=0,I17=0,I20=0,I38=0,I39=0,I41=0,I45=0,),"Neužpildyti visi laukai I stulpelyje",I43+I44+I45-I42)</f>
        <v>Neužpildyti visi laukai I stulpelyje</v>
      </c>
      <c r="J46" s="127" t="str">
        <f>IF(OR(J13=0,J16=0,J17=0,J20=0,J38=0,J39=0,J41=0,J45=0,),"Neužpildyti visi laukai J stulpelyje",J43+J44+J45-J42)</f>
        <v>Neužpildyti visi laukai J stulpelyje</v>
      </c>
      <c r="K46" s="127" t="str">
        <f>IF(OR(K13=0,K16=0,K17=0,K20=0,K38=0,K39=0,K41=0,K45=0,),"Neužpildyti visi laukai K stulpelyje",K43+K44+K45-K42)</f>
        <v>Neužpildyti visi laukai K stulpelyje</v>
      </c>
      <c r="L46" s="127" t="str">
        <f>IF(OR(L13=0,L16=0,L17=0,L20=0,L38=0,L39=0,L41=0,L45=0,),"Neužpildyti visi laukai L stulpelyje",L43+L44+L45-L42)</f>
        <v>Neužpildyti visi laukai L stulpelyje</v>
      </c>
      <c r="M46" s="127" t="str">
        <f>IF(OR(M13=0,M16=0,M17=0,M20=0,M38=0,M39=0,M41=0,M45=0,),"Neužpildyti visi laukai M stulpelyje",M43+M44+M45-M42)</f>
        <v>Neužpildyti visi laukai M stulpelyje</v>
      </c>
      <c r="N46" s="127" t="str">
        <f>IF(OR(N13=0,N16=0,N17=0,N20=0,N38=0,N39=0,N41=0,N45=0,),"Neužpildyti visi laukai N stulpelyje",N43+N44+N45-N42)</f>
        <v>Neužpildyti visi laukai N stulpelyje</v>
      </c>
      <c r="O46" s="127" t="str">
        <f>IF(OR(O13=0,O16=0,O17=0,O20=0,O38=0,O39=0,O41=0,O45=0,),"Neužpildyti visi laukai O stulpelyje",O43+O44+O45-O42)</f>
        <v>Neužpildyti visi laukai O stulpelyje</v>
      </c>
      <c r="P46" s="127" t="str">
        <f>IF(OR(P13=0,P16=0,P17=0,P20=0,P38=0,P39=0,P41=0,P45=0,),"Neužpildyti visi laukai P stulpelyje",P43+P44+P45-P42)</f>
        <v>Neužpildyti visi laukai P stulpelyje</v>
      </c>
      <c r="Q46" s="128" t="str">
        <f>IF(OR(Q13=0,Q16=0,Q17=0,Q20=0,Q38=0,Q39=0,Q41=0,Q45=0,),"Neužpildyti visi laukai Q stulpelyje",Q43+Q44+Q45-Q42)</f>
        <v>Neužpildyti visi laukai Q stulpelyje</v>
      </c>
      <c r="R46" s="22"/>
      <c r="S46" s="126" t="str">
        <f>IF(OR(S13=0,S16=0,S17=0,S20=0,S38=0,S39=0,S41=0,S45=0,),"Neužpildyti visi laukai S stulpelyje",S43+S44+S45-S42)</f>
        <v>Neužpildyti visi laukai S stulpelyje</v>
      </c>
      <c r="T46" s="127" t="str">
        <f>IF(OR(T13=0,T16=0,T17=0,T20=0,T38=0,T39=0,T41=0,T45=0,),"Neužpildyti visi laukai T stulpelyje",T43+T44+T45-T42)</f>
        <v>Neužpildyti visi laukai T stulpelyje</v>
      </c>
      <c r="U46" s="127" t="str">
        <f>IF(OR(U13=0,U16=0,U17=0,U20=0,U38=0,U39=0,U41=0,U45=0,),"Neužpildyti visi laukai U stulpelyje",U43+U44+U45-U42)</f>
        <v>Neužpildyti visi laukai U stulpelyje</v>
      </c>
      <c r="V46" s="127" t="str">
        <f>IF(OR(V13=0,V16=0,V17=0,V20=0,V38=0,V39=0,V41=0,V45=0,),"Neužpildyti visi laukai V stulpelyje",V43+V44+V45-V42)</f>
        <v>Neužpildyti visi laukai V stulpelyje</v>
      </c>
      <c r="W46" s="127" t="str">
        <f>IF(OR(W13=0,W16=0,W17=0,W20=0,W38=0,W39=0,W41=0,W45=0,),"Neužpildyti visi laukai W stulpelyje",W43+W44+W45-W42)</f>
        <v>Neužpildyti visi laukai W stulpelyje</v>
      </c>
      <c r="X46" s="128" t="str">
        <f>IF(OR(X13=0,X16=0,X17=0,X20=0,X38=0,X39=0,X41=0,X45=0,),"Neužpildyti visi laukai X stulpelyje",X43+X44+X45-X42)</f>
        <v>Neužpildyti visi laukai X stulpelyje</v>
      </c>
      <c r="Y46" s="22"/>
      <c r="Z46" s="126" t="str">
        <f>IF(OR(Z13=0,Z16=0,Z17=0,Z20=0,Z38=0,Z39=0,Z41=0,Z45=0,),"Neužpildyti visi laukai Z stulpelyje",Z43+Z44+Z45-Z42)</f>
        <v>Neužpildyti visi laukai Z stulpelyje</v>
      </c>
      <c r="AA46" s="127" t="str">
        <f>IF(OR(AA13=0,AA16=0,AA17=0,AA20=0,AA38=0,AA39=0,AA41=0,AA45=0,),"Neužpildyti visi laukai AA stulpelyje",AA43+AA44+AA45-AA42)</f>
        <v>Neužpildyti visi laukai AA stulpelyje</v>
      </c>
      <c r="AB46" s="127" t="str">
        <f>IF(OR(AB13=0,AB16=0,AB17=0,AB20=0,AB38=0,AB39=0,AB41=0,AB45=0,),"Neužpildyti visi laukai AB stulpelyje",AB43+AB44+AB45-AB42)</f>
        <v>Neužpildyti visi laukai AB stulpelyje</v>
      </c>
      <c r="AC46" s="127" t="str">
        <f>IF(OR(AC13=0,AC16=0,AC17=0,AC20=0,AC38=0,AC39=0,AC41=0,AC45=0,),"Neužpildyti visi laukai AC stulpelyje",AC43+AC44+AC45-AC42)</f>
        <v>Neužpildyti visi laukai AC stulpelyje</v>
      </c>
      <c r="AD46" s="127" t="str">
        <f>IF(OR(AD13=0,AD16=0,AD17=0,AD20=0,AD38=0,AD39=0,AD41=0,AD45=0,),"Neužpildyti visi laukai AD stulpelyje",AD43+AD44+AD45-AD42)</f>
        <v>Neužpildyti visi laukai AD stulpelyje</v>
      </c>
      <c r="AE46" s="127" t="str">
        <f>IF(OR(AE13=0,AE16=0,AE17=0,AE20=0,AE38=0,AE39=0,AE41=0,AE45=0,),"Neužpildyti visi laukai AE stulpelyje",AE43+AE44+AE45-AE42)</f>
        <v>Neužpildyti visi laukai AE stulpelyje</v>
      </c>
      <c r="AF46" s="128" t="str">
        <f>IF(OR(AF13=0,AF16=0,AF17=0,AF20=0,AF38=0,AF39=0,AF41=0,AF45=0,),"Neužpildyti visi laukai AF stulpelyje",AF43+AF44+AF45-AF42)</f>
        <v>Neužpildyti visi laukai AF stulpelyje</v>
      </c>
      <c r="AG46" s="22"/>
      <c r="AH46" s="126" t="str">
        <f>IF(OR(AH13=0,AH16=0,AH17=0,AH20=0,AH38=0,AH39=0,AH41=0,AH45=0,),"Neužpildyti visi laukai AH stulpelyje",AH43+AH44+AH45-AH42)</f>
        <v>Neužpildyti visi laukai AH stulpelyje</v>
      </c>
      <c r="AI46" s="127" t="str">
        <f>IF(OR(AI13=0,AI16=0,AI17=0,AI20=0,AI38=0,AI39=0,AI41=0,AI45=0,),"Neužpildyti visi laukai AI stulpelyje",AI43+AI44+AI45-AI42)</f>
        <v>Neužpildyti visi laukai AI stulpelyje</v>
      </c>
      <c r="AJ46" s="127" t="str">
        <f>IF(OR(AJ13=0,AJ16=0,AJ17=0,AJ20=0,AJ38=0,AJ39=0,AJ41=0,AJ45=0,),"Neužpildyti visi laukai AJ stulpelyje",AJ43+AJ44+AJ45-AJ42)</f>
        <v>Neužpildyti visi laukai AJ stulpelyje</v>
      </c>
      <c r="AK46" s="127" t="str">
        <f>IF(OR(AK13=0,AK16=0,AK17=0,AK20=0,AK38=0,AK39=0,AK41=0,AK45=0,),"Neužpildyti visi laukai AK stulpelyje",AK43+AK44+AK45-AK42)</f>
        <v>Neužpildyti visi laukai AK stulpelyje</v>
      </c>
      <c r="AL46" s="127" t="str">
        <f>IF(OR(AL13=0,AL16=0,AL17=0,AL20=0,AL38=0,AL39=0,AL41=0,AL45=0,),"Neužpildyti visi laukai AL stulpelyje",AL43+AL44+AL45-AL42)</f>
        <v>Neužpildyti visi laukai AL stulpelyje</v>
      </c>
      <c r="AM46" s="127" t="str">
        <f>IF(OR(AM13=0,AM16=0,AM17=0,AM20=0,AM38=0,AM39=0,AM41=0,AM45=0,),"Neužpildyti visi laukai AM stulpelyje",AM43+AM44+AM45-AM42)</f>
        <v>Neužpildyti visi laukai AM stulpelyje</v>
      </c>
      <c r="AN46" s="128" t="str">
        <f>IF(OR(AN13=0,AN16=0,AN17=0,AN20=0,AN38=0,AN39=0,AN41=0,AN45=0,),"Neužpildyti visi laukai AN stulpelyje",AN43+AN44+AN45-AN42)</f>
        <v>Neužpildyti visi laukai AN stulpelyje</v>
      </c>
    </row>
    <row r="47" spans="1:40" ht="61.2" customHeight="1" thickBot="1" thickTop="1">
      <c r="A47" s="52" t="s">
        <v>51</v>
      </c>
      <c r="B47" s="53" t="s">
        <v>105</v>
      </c>
      <c r="C47" s="54" t="s">
        <v>106</v>
      </c>
      <c r="D47" s="55" t="s">
        <v>106</v>
      </c>
      <c r="E47" s="55" t="s">
        <v>106</v>
      </c>
      <c r="F47" s="55" t="s">
        <v>106</v>
      </c>
      <c r="G47" s="55" t="s">
        <v>107</v>
      </c>
      <c r="H47" s="55" t="s">
        <v>106</v>
      </c>
      <c r="I47" s="55" t="s">
        <v>106</v>
      </c>
      <c r="J47" s="55" t="s">
        <v>106</v>
      </c>
      <c r="K47" s="55" t="s">
        <v>106</v>
      </c>
      <c r="L47" s="55" t="s">
        <v>107</v>
      </c>
      <c r="M47" s="55" t="s">
        <v>106</v>
      </c>
      <c r="N47" s="55" t="s">
        <v>106</v>
      </c>
      <c r="O47" s="55" t="s">
        <v>106</v>
      </c>
      <c r="P47" s="55" t="s">
        <v>106</v>
      </c>
      <c r="Q47" s="56" t="s">
        <v>107</v>
      </c>
      <c r="R47" s="22"/>
      <c r="S47" s="54" t="s">
        <v>106</v>
      </c>
      <c r="T47" s="55" t="s">
        <v>106</v>
      </c>
      <c r="U47" s="55" t="s">
        <v>106</v>
      </c>
      <c r="V47" s="55" t="s">
        <v>106</v>
      </c>
      <c r="W47" s="55" t="s">
        <v>106</v>
      </c>
      <c r="X47" s="56" t="s">
        <v>106</v>
      </c>
      <c r="Y47" s="22"/>
      <c r="Z47" s="54" t="s">
        <v>106</v>
      </c>
      <c r="AA47" s="55" t="s">
        <v>106</v>
      </c>
      <c r="AB47" s="55" t="s">
        <v>106</v>
      </c>
      <c r="AC47" s="55" t="s">
        <v>106</v>
      </c>
      <c r="AD47" s="55" t="s">
        <v>107</v>
      </c>
      <c r="AE47" s="55" t="s">
        <v>106</v>
      </c>
      <c r="AF47" s="56" t="s">
        <v>106</v>
      </c>
      <c r="AG47" s="22"/>
      <c r="AH47" s="54" t="s">
        <v>106</v>
      </c>
      <c r="AI47" s="55" t="s">
        <v>106</v>
      </c>
      <c r="AJ47" s="55" t="s">
        <v>106</v>
      </c>
      <c r="AK47" s="55" t="s">
        <v>106</v>
      </c>
      <c r="AL47" s="55" t="s">
        <v>107</v>
      </c>
      <c r="AM47" s="55" t="s">
        <v>106</v>
      </c>
      <c r="AN47" s="56" t="s">
        <v>106</v>
      </c>
    </row>
    <row r="48" spans="1:40" ht="15" thickTop="1">
      <c r="A48" s="50"/>
      <c r="B48" s="51"/>
      <c r="C48" s="57"/>
      <c r="D48" s="57"/>
      <c r="E48" s="57"/>
      <c r="F48" s="57"/>
      <c r="G48" s="57"/>
      <c r="H48" s="57"/>
      <c r="I48" s="57"/>
      <c r="J48" s="57"/>
      <c r="K48" s="57"/>
      <c r="L48" s="57"/>
      <c r="M48" s="57"/>
      <c r="N48" s="57"/>
      <c r="O48" s="57"/>
      <c r="P48" s="57"/>
      <c r="Q48" s="57"/>
      <c r="R48" s="22"/>
      <c r="S48" s="57"/>
      <c r="T48" s="57"/>
      <c r="U48" s="57"/>
      <c r="V48" s="57"/>
      <c r="W48" s="57"/>
      <c r="X48" s="57"/>
      <c r="Y48" s="22"/>
      <c r="Z48" s="57"/>
      <c r="AA48" s="57"/>
      <c r="AB48" s="57"/>
      <c r="AC48" s="57"/>
      <c r="AD48" s="57"/>
      <c r="AE48" s="57"/>
      <c r="AF48" s="57"/>
      <c r="AG48" s="22"/>
      <c r="AH48" s="57"/>
      <c r="AI48" s="57"/>
      <c r="AJ48" s="57"/>
      <c r="AK48" s="57"/>
      <c r="AL48" s="57"/>
      <c r="AM48" s="57"/>
      <c r="AN48" s="57"/>
    </row>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sheetData>
  <sheetProtection algorithmName="SHA-512" hashValue="/qER9rnuC2OjEP8UwH0aA9u/6AxkbRf8IEF8YNPuaJyT4SPF/S8455IzKtnf2xC/nx0baw9v9MnNDR03aQ54Tg==" saltValue="c9uFbPivhD1506KfDWAQmA==" spinCount="100000" sheet="1" objects="1" scenarios="1"/>
  <mergeCells count="36">
    <mergeCell ref="AH2:AN3"/>
    <mergeCell ref="A30:AN30"/>
    <mergeCell ref="A31:A36"/>
    <mergeCell ref="A37:AN37"/>
    <mergeCell ref="A38:A41"/>
    <mergeCell ref="A23:AN23"/>
    <mergeCell ref="U2:X2"/>
    <mergeCell ref="Z2:AF2"/>
    <mergeCell ref="H3:L3"/>
    <mergeCell ref="M3:Q3"/>
    <mergeCell ref="U3:V3"/>
    <mergeCell ref="W3:X3"/>
    <mergeCell ref="Z3:AF3"/>
    <mergeCell ref="H2:Q2"/>
    <mergeCell ref="S2:T3"/>
    <mergeCell ref="A43:A45"/>
    <mergeCell ref="A24:A29"/>
    <mergeCell ref="C24:AN29"/>
    <mergeCell ref="C4:G4"/>
    <mergeCell ref="H4:L4"/>
    <mergeCell ref="M4:Q4"/>
    <mergeCell ref="Z4:AD4"/>
    <mergeCell ref="AH4:AL4"/>
    <mergeCell ref="A6:AN6"/>
    <mergeCell ref="A2:A5"/>
    <mergeCell ref="B2:B5"/>
    <mergeCell ref="C2:G3"/>
    <mergeCell ref="A7:A9"/>
    <mergeCell ref="A10:AN10"/>
    <mergeCell ref="A16:A17"/>
    <mergeCell ref="B16:B17"/>
    <mergeCell ref="A1:B1"/>
    <mergeCell ref="C1:Q1"/>
    <mergeCell ref="S1:X1"/>
    <mergeCell ref="Z1:AF1"/>
    <mergeCell ref="AH1:AN1"/>
  </mergeCells>
  <dataValidations count="1">
    <dataValidation type="list" allowBlank="1" showInputMessage="1" showErrorMessage="1" sqref="C36:Q36 Z36:AF36">
      <formula1>#REF!</formula1>
    </dataValidation>
  </dataValidations>
  <hyperlinks>
    <hyperlink ref="A1" location="Įvadas!A23" display="Prielaidų paaiškinimai"/>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Rimas Valungevičius</dc:creator>
  <cp:keywords/>
  <dc:description/>
  <cp:lastModifiedBy>Rimas Valungevičius</cp:lastModifiedBy>
  <dcterms:created xsi:type="dcterms:W3CDTF">2023-10-09T06:09:41Z</dcterms:created>
  <dcterms:modified xsi:type="dcterms:W3CDTF">2024-01-11T07:10:13Z</dcterms:modified>
  <cp:category/>
  <cp:version/>
  <cp:contentType/>
  <cp:contentStatus/>
</cp:coreProperties>
</file>